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95" windowWidth="18810" windowHeight="8160" tabRatio="842" activeTab="1"/>
  </bookViews>
  <sheets>
    <sheet name="Data Entry" sheetId="2" r:id="rId1"/>
    <sheet name="Summary" sheetId="1" r:id="rId2"/>
    <sheet name="Cruise" sheetId="5" r:id="rId3"/>
    <sheet name="Cruise Ships" sheetId="3" r:id="rId4"/>
    <sheet name="Passenger Movement" sheetId="6" r:id="rId5"/>
    <sheet name="Vessel Movement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2">Cruise!$A$2:$K$50</definedName>
    <definedName name="_xlnm.Print_Area" localSheetId="1">Summary!$A$51:$P$89</definedName>
    <definedName name="_xlnm.Print_Area">Summary!$B$51:$K$56</definedName>
    <definedName name="PRINT_AREA_MI">Summary!$B$51:$K$56</definedName>
  </definedNames>
  <calcPr calcId="145621"/>
</workbook>
</file>

<file path=xl/calcChain.xml><?xml version="1.0" encoding="utf-8"?>
<calcChain xmlns="http://schemas.openxmlformats.org/spreadsheetml/2006/main">
  <c r="AB89" i="1" l="1"/>
  <c r="H21" i="2"/>
  <c r="G51" i="2"/>
  <c r="G52" i="2"/>
  <c r="G36" i="2"/>
  <c r="G37" i="2"/>
  <c r="I22" i="2"/>
  <c r="H22" i="2"/>
  <c r="G21" i="2"/>
  <c r="I7" i="2"/>
  <c r="H7" i="2"/>
  <c r="H6" i="2"/>
  <c r="G6" i="2"/>
  <c r="B52" i="2" l="1"/>
  <c r="B37" i="2"/>
  <c r="D79" i="7"/>
  <c r="C79" i="7"/>
  <c r="J79" i="7"/>
  <c r="J52" i="7"/>
  <c r="I79" i="7"/>
  <c r="H79" i="7"/>
  <c r="D52" i="2"/>
  <c r="D37" i="2"/>
  <c r="B53" i="2"/>
  <c r="B38" i="2"/>
  <c r="E91" i="7"/>
  <c r="E92" i="7"/>
  <c r="E93" i="7"/>
  <c r="E94" i="7"/>
  <c r="E66" i="7"/>
  <c r="E65" i="7"/>
  <c r="E64" i="7"/>
  <c r="I106" i="7"/>
  <c r="H106" i="7"/>
  <c r="D106" i="7"/>
  <c r="C106" i="7"/>
  <c r="J103" i="7"/>
  <c r="E103" i="7"/>
  <c r="J102" i="7"/>
  <c r="E102" i="7"/>
  <c r="J101" i="7"/>
  <c r="E101" i="7"/>
  <c r="J100" i="7"/>
  <c r="E100" i="7"/>
  <c r="J99" i="7"/>
  <c r="E99" i="7"/>
  <c r="J98" i="7"/>
  <c r="E98" i="7"/>
  <c r="J97" i="7"/>
  <c r="E97" i="7"/>
  <c r="J94" i="7"/>
  <c r="J93" i="7"/>
  <c r="J92" i="7"/>
  <c r="J91" i="7"/>
  <c r="J90" i="7"/>
  <c r="E90" i="7"/>
  <c r="J89" i="7"/>
  <c r="E89" i="7"/>
  <c r="J88" i="7"/>
  <c r="J106" i="7"/>
  <c r="E88" i="7"/>
  <c r="J87" i="7"/>
  <c r="E87" i="7"/>
  <c r="J76" i="7"/>
  <c r="E76" i="7"/>
  <c r="J75" i="7"/>
  <c r="E75" i="7"/>
  <c r="J74" i="7"/>
  <c r="E74" i="7"/>
  <c r="J73" i="7"/>
  <c r="E73" i="7"/>
  <c r="J72" i="7"/>
  <c r="E72" i="7"/>
  <c r="J71" i="7"/>
  <c r="E71" i="7"/>
  <c r="J70" i="7"/>
  <c r="E70" i="7"/>
  <c r="J67" i="7"/>
  <c r="E67" i="7"/>
  <c r="J66" i="7"/>
  <c r="J65" i="7"/>
  <c r="J64" i="7"/>
  <c r="J63" i="7"/>
  <c r="E63" i="7"/>
  <c r="J62" i="7"/>
  <c r="E62" i="7"/>
  <c r="J61" i="7"/>
  <c r="E61" i="7"/>
  <c r="J60" i="7"/>
  <c r="E60" i="7"/>
  <c r="D53" i="2"/>
  <c r="D38" i="2"/>
  <c r="E106" i="7"/>
  <c r="E10" i="7"/>
  <c r="I25" i="7"/>
  <c r="H25" i="7"/>
  <c r="D25" i="7"/>
  <c r="C25" i="7"/>
  <c r="J22" i="7"/>
  <c r="E22" i="7"/>
  <c r="J21" i="7"/>
  <c r="E21" i="7"/>
  <c r="J20" i="7"/>
  <c r="E20" i="7"/>
  <c r="J19" i="7"/>
  <c r="E19" i="7"/>
  <c r="J18" i="7"/>
  <c r="E18" i="7"/>
  <c r="J17" i="7"/>
  <c r="E17" i="7"/>
  <c r="J16" i="7"/>
  <c r="E16" i="7"/>
  <c r="J13" i="7"/>
  <c r="E13" i="7"/>
  <c r="J12" i="7"/>
  <c r="J11" i="7"/>
  <c r="J10" i="7"/>
  <c r="J9" i="7"/>
  <c r="E9" i="7"/>
  <c r="J8" i="7"/>
  <c r="E8" i="7"/>
  <c r="J7" i="7"/>
  <c r="E7" i="7"/>
  <c r="J6" i="7"/>
  <c r="E6" i="7"/>
  <c r="E33" i="7"/>
  <c r="E34" i="7"/>
  <c r="E35" i="7"/>
  <c r="E36" i="7"/>
  <c r="E40" i="7"/>
  <c r="E43" i="7"/>
  <c r="E44" i="7"/>
  <c r="E45" i="7"/>
  <c r="E46" i="7"/>
  <c r="E47" i="7"/>
  <c r="E48" i="7"/>
  <c r="E49" i="7"/>
  <c r="D52" i="7"/>
  <c r="J43" i="7"/>
  <c r="J36" i="7"/>
  <c r="J34" i="7"/>
  <c r="H52" i="7"/>
  <c r="C52" i="7"/>
  <c r="J44" i="7"/>
  <c r="J45" i="7"/>
  <c r="J46" i="7"/>
  <c r="J47" i="7"/>
  <c r="J48" i="7"/>
  <c r="J49" i="7"/>
  <c r="J35" i="7"/>
  <c r="J37" i="7"/>
  <c r="J38" i="7"/>
  <c r="J39" i="7"/>
  <c r="J40" i="7"/>
  <c r="J33" i="7"/>
  <c r="E52" i="7"/>
  <c r="E63" i="3"/>
  <c r="E62" i="3"/>
  <c r="E61" i="3"/>
  <c r="E37" i="2"/>
  <c r="B51" i="2"/>
  <c r="B36" i="2"/>
  <c r="D51" i="2"/>
  <c r="D36" i="2"/>
  <c r="E36" i="2"/>
  <c r="E19" i="2"/>
  <c r="E65" i="2"/>
  <c r="E35" i="2"/>
  <c r="D62" i="3"/>
  <c r="D61" i="3"/>
  <c r="D63" i="3"/>
  <c r="C62" i="3"/>
  <c r="C61" i="3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J7" i="6"/>
  <c r="I7" i="6"/>
  <c r="B50" i="2"/>
  <c r="B35" i="2"/>
  <c r="D50" i="2"/>
  <c r="D35" i="2"/>
  <c r="C35" i="2"/>
  <c r="O60" i="3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3" i="1"/>
  <c r="AA34" i="1"/>
  <c r="AC34" i="1" s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3" i="1"/>
  <c r="AC53" i="1" s="1"/>
  <c r="AA54" i="1"/>
  <c r="AC54" i="1" s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3" i="1"/>
  <c r="AC73" i="1" s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C153" i="1"/>
  <c r="D153" i="1"/>
  <c r="D273" i="1" s="1"/>
  <c r="E153" i="1"/>
  <c r="E273" i="1" s="1"/>
  <c r="F153" i="1"/>
  <c r="G153" i="1"/>
  <c r="H153" i="1"/>
  <c r="H273" i="1" s="1"/>
  <c r="I153" i="1"/>
  <c r="I273" i="1" s="1"/>
  <c r="J153" i="1"/>
  <c r="K153" i="1"/>
  <c r="L153" i="1"/>
  <c r="L273" i="1" s="1"/>
  <c r="M153" i="1"/>
  <c r="M273" i="1" s="1"/>
  <c r="C154" i="1"/>
  <c r="D154" i="1"/>
  <c r="E154" i="1"/>
  <c r="E274" i="1" s="1"/>
  <c r="F154" i="1"/>
  <c r="F274" i="1" s="1"/>
  <c r="G154" i="1"/>
  <c r="H154" i="1"/>
  <c r="I154" i="1"/>
  <c r="I274" i="1" s="1"/>
  <c r="J154" i="1"/>
  <c r="J274" i="1" s="1"/>
  <c r="K154" i="1"/>
  <c r="L154" i="1"/>
  <c r="M154" i="1"/>
  <c r="M274" i="1" s="1"/>
  <c r="C155" i="1"/>
  <c r="D155" i="1"/>
  <c r="E155" i="1"/>
  <c r="F155" i="1"/>
  <c r="G155" i="1"/>
  <c r="H155" i="1"/>
  <c r="I155" i="1"/>
  <c r="J155" i="1"/>
  <c r="K155" i="1"/>
  <c r="L155" i="1"/>
  <c r="M155" i="1"/>
  <c r="C156" i="1"/>
  <c r="D156" i="1"/>
  <c r="E156" i="1"/>
  <c r="F156" i="1"/>
  <c r="G156" i="1"/>
  <c r="H156" i="1"/>
  <c r="I156" i="1"/>
  <c r="J156" i="1"/>
  <c r="K156" i="1"/>
  <c r="L156" i="1"/>
  <c r="M156" i="1"/>
  <c r="C157" i="1"/>
  <c r="D157" i="1"/>
  <c r="E157" i="1"/>
  <c r="F157" i="1"/>
  <c r="G157" i="1"/>
  <c r="H157" i="1"/>
  <c r="I157" i="1"/>
  <c r="J157" i="1"/>
  <c r="K157" i="1"/>
  <c r="L157" i="1"/>
  <c r="M157" i="1"/>
  <c r="C158" i="1"/>
  <c r="D158" i="1"/>
  <c r="E158" i="1"/>
  <c r="F158" i="1"/>
  <c r="G158" i="1"/>
  <c r="H158" i="1"/>
  <c r="I158" i="1"/>
  <c r="J158" i="1"/>
  <c r="K158" i="1"/>
  <c r="L158" i="1"/>
  <c r="M158" i="1"/>
  <c r="C159" i="1"/>
  <c r="D159" i="1"/>
  <c r="E159" i="1"/>
  <c r="F159" i="1"/>
  <c r="G159" i="1"/>
  <c r="H159" i="1"/>
  <c r="I159" i="1"/>
  <c r="J159" i="1"/>
  <c r="K159" i="1"/>
  <c r="L159" i="1"/>
  <c r="M159" i="1"/>
  <c r="C160" i="1"/>
  <c r="D160" i="1"/>
  <c r="E160" i="1"/>
  <c r="F160" i="1"/>
  <c r="G160" i="1"/>
  <c r="H160" i="1"/>
  <c r="I160" i="1"/>
  <c r="J160" i="1"/>
  <c r="K160" i="1"/>
  <c r="L160" i="1"/>
  <c r="M160" i="1"/>
  <c r="C161" i="1"/>
  <c r="D161" i="1"/>
  <c r="E161" i="1"/>
  <c r="F161" i="1"/>
  <c r="G161" i="1"/>
  <c r="H161" i="1"/>
  <c r="I161" i="1"/>
  <c r="J161" i="1"/>
  <c r="K161" i="1"/>
  <c r="L161" i="1"/>
  <c r="M161" i="1"/>
  <c r="C162" i="1"/>
  <c r="D162" i="1"/>
  <c r="E162" i="1"/>
  <c r="F162" i="1"/>
  <c r="G162" i="1"/>
  <c r="H162" i="1"/>
  <c r="I162" i="1"/>
  <c r="J162" i="1"/>
  <c r="K162" i="1"/>
  <c r="L162" i="1"/>
  <c r="M162" i="1"/>
  <c r="C163" i="1"/>
  <c r="D163" i="1"/>
  <c r="E163" i="1"/>
  <c r="F163" i="1"/>
  <c r="G163" i="1"/>
  <c r="H163" i="1"/>
  <c r="I163" i="1"/>
  <c r="J163" i="1"/>
  <c r="K163" i="1"/>
  <c r="L163" i="1"/>
  <c r="M163" i="1"/>
  <c r="C164" i="1"/>
  <c r="D164" i="1"/>
  <c r="E164" i="1"/>
  <c r="F164" i="1"/>
  <c r="G164" i="1"/>
  <c r="H164" i="1"/>
  <c r="I164" i="1"/>
  <c r="J164" i="1"/>
  <c r="K164" i="1"/>
  <c r="L164" i="1"/>
  <c r="M164" i="1"/>
  <c r="C165" i="1"/>
  <c r="D165" i="1"/>
  <c r="E165" i="1"/>
  <c r="F165" i="1"/>
  <c r="G165" i="1"/>
  <c r="H165" i="1"/>
  <c r="I165" i="1"/>
  <c r="J165" i="1"/>
  <c r="K165" i="1"/>
  <c r="L165" i="1"/>
  <c r="M165" i="1"/>
  <c r="C166" i="1"/>
  <c r="D166" i="1"/>
  <c r="E166" i="1"/>
  <c r="F166" i="1"/>
  <c r="G166" i="1"/>
  <c r="H166" i="1"/>
  <c r="I166" i="1"/>
  <c r="J166" i="1"/>
  <c r="K166" i="1"/>
  <c r="L166" i="1"/>
  <c r="M166" i="1"/>
  <c r="C167" i="1"/>
  <c r="D167" i="1"/>
  <c r="E167" i="1"/>
  <c r="F167" i="1"/>
  <c r="G167" i="1"/>
  <c r="H167" i="1"/>
  <c r="I167" i="1"/>
  <c r="J167" i="1"/>
  <c r="K167" i="1"/>
  <c r="L167" i="1"/>
  <c r="M167" i="1"/>
  <c r="C168" i="1"/>
  <c r="D168" i="1"/>
  <c r="E168" i="1"/>
  <c r="F168" i="1"/>
  <c r="G168" i="1"/>
  <c r="H168" i="1"/>
  <c r="I168" i="1"/>
  <c r="J168" i="1"/>
  <c r="K168" i="1"/>
  <c r="L168" i="1"/>
  <c r="M168" i="1"/>
  <c r="C169" i="1"/>
  <c r="D169" i="1"/>
  <c r="E169" i="1"/>
  <c r="F169" i="1"/>
  <c r="G169" i="1"/>
  <c r="H169" i="1"/>
  <c r="I169" i="1"/>
  <c r="J169" i="1"/>
  <c r="K169" i="1"/>
  <c r="L169" i="1"/>
  <c r="M169" i="1"/>
  <c r="C133" i="1"/>
  <c r="D133" i="1"/>
  <c r="E133" i="1"/>
  <c r="E253" i="1" s="1"/>
  <c r="F133" i="1"/>
  <c r="G133" i="1"/>
  <c r="H133" i="1"/>
  <c r="I133" i="1"/>
  <c r="I253" i="1" s="1"/>
  <c r="J133" i="1"/>
  <c r="J253" i="1" s="1"/>
  <c r="K133" i="1"/>
  <c r="L133" i="1"/>
  <c r="M133" i="1"/>
  <c r="M253" i="1" s="1"/>
  <c r="C134" i="1"/>
  <c r="C254" i="1" s="1"/>
  <c r="D134" i="1"/>
  <c r="E134" i="1"/>
  <c r="F134" i="1"/>
  <c r="F254" i="1" s="1"/>
  <c r="G134" i="1"/>
  <c r="G254" i="1" s="1"/>
  <c r="H134" i="1"/>
  <c r="I134" i="1"/>
  <c r="J134" i="1"/>
  <c r="J254" i="1" s="1"/>
  <c r="K134" i="1"/>
  <c r="K254" i="1" s="1"/>
  <c r="L134" i="1"/>
  <c r="M134" i="1"/>
  <c r="C135" i="1"/>
  <c r="D135" i="1"/>
  <c r="E135" i="1"/>
  <c r="F135" i="1"/>
  <c r="G135" i="1"/>
  <c r="H135" i="1"/>
  <c r="I135" i="1"/>
  <c r="J135" i="1"/>
  <c r="K135" i="1"/>
  <c r="L135" i="1"/>
  <c r="M135" i="1"/>
  <c r="C136" i="1"/>
  <c r="D136" i="1"/>
  <c r="E136" i="1"/>
  <c r="F136" i="1"/>
  <c r="G136" i="1"/>
  <c r="H136" i="1"/>
  <c r="I136" i="1"/>
  <c r="J136" i="1"/>
  <c r="K136" i="1"/>
  <c r="L136" i="1"/>
  <c r="M136" i="1"/>
  <c r="C137" i="1"/>
  <c r="D137" i="1"/>
  <c r="E137" i="1"/>
  <c r="F137" i="1"/>
  <c r="G137" i="1"/>
  <c r="H137" i="1"/>
  <c r="I137" i="1"/>
  <c r="J137" i="1"/>
  <c r="K137" i="1"/>
  <c r="L137" i="1"/>
  <c r="M137" i="1"/>
  <c r="C138" i="1"/>
  <c r="D138" i="1"/>
  <c r="E138" i="1"/>
  <c r="F138" i="1"/>
  <c r="G138" i="1"/>
  <c r="H138" i="1"/>
  <c r="I138" i="1"/>
  <c r="J138" i="1"/>
  <c r="K138" i="1"/>
  <c r="L138" i="1"/>
  <c r="M138" i="1"/>
  <c r="C139" i="1"/>
  <c r="D139" i="1"/>
  <c r="E139" i="1"/>
  <c r="F139" i="1"/>
  <c r="G139" i="1"/>
  <c r="H139" i="1"/>
  <c r="I139" i="1"/>
  <c r="J139" i="1"/>
  <c r="K139" i="1"/>
  <c r="L139" i="1"/>
  <c r="M139" i="1"/>
  <c r="C140" i="1"/>
  <c r="D140" i="1"/>
  <c r="E140" i="1"/>
  <c r="F140" i="1"/>
  <c r="G140" i="1"/>
  <c r="H140" i="1"/>
  <c r="I140" i="1"/>
  <c r="J140" i="1"/>
  <c r="K140" i="1"/>
  <c r="L140" i="1"/>
  <c r="M140" i="1"/>
  <c r="C141" i="1"/>
  <c r="D141" i="1"/>
  <c r="E141" i="1"/>
  <c r="F141" i="1"/>
  <c r="G141" i="1"/>
  <c r="H141" i="1"/>
  <c r="I141" i="1"/>
  <c r="J141" i="1"/>
  <c r="K141" i="1"/>
  <c r="L141" i="1"/>
  <c r="M141" i="1"/>
  <c r="C142" i="1"/>
  <c r="D142" i="1"/>
  <c r="E142" i="1"/>
  <c r="F142" i="1"/>
  <c r="G142" i="1"/>
  <c r="H142" i="1"/>
  <c r="I142" i="1"/>
  <c r="J142" i="1"/>
  <c r="K142" i="1"/>
  <c r="L142" i="1"/>
  <c r="M142" i="1"/>
  <c r="C143" i="1"/>
  <c r="D143" i="1"/>
  <c r="E143" i="1"/>
  <c r="F143" i="1"/>
  <c r="G143" i="1"/>
  <c r="H143" i="1"/>
  <c r="I143" i="1"/>
  <c r="J143" i="1"/>
  <c r="K143" i="1"/>
  <c r="L143" i="1"/>
  <c r="M143" i="1"/>
  <c r="C144" i="1"/>
  <c r="D144" i="1"/>
  <c r="E144" i="1"/>
  <c r="F144" i="1"/>
  <c r="G144" i="1"/>
  <c r="H144" i="1"/>
  <c r="I144" i="1"/>
  <c r="J144" i="1"/>
  <c r="K144" i="1"/>
  <c r="L144" i="1"/>
  <c r="M144" i="1"/>
  <c r="C145" i="1"/>
  <c r="D145" i="1"/>
  <c r="E145" i="1"/>
  <c r="F145" i="1"/>
  <c r="G145" i="1"/>
  <c r="H145" i="1"/>
  <c r="I145" i="1"/>
  <c r="J145" i="1"/>
  <c r="K145" i="1"/>
  <c r="L145" i="1"/>
  <c r="M145" i="1"/>
  <c r="C146" i="1"/>
  <c r="D146" i="1"/>
  <c r="E146" i="1"/>
  <c r="F146" i="1"/>
  <c r="G146" i="1"/>
  <c r="H146" i="1"/>
  <c r="I146" i="1"/>
  <c r="J146" i="1"/>
  <c r="K146" i="1"/>
  <c r="L146" i="1"/>
  <c r="M146" i="1"/>
  <c r="C147" i="1"/>
  <c r="D147" i="1"/>
  <c r="E147" i="1"/>
  <c r="F147" i="1"/>
  <c r="G147" i="1"/>
  <c r="H147" i="1"/>
  <c r="I147" i="1"/>
  <c r="J147" i="1"/>
  <c r="K147" i="1"/>
  <c r="L147" i="1"/>
  <c r="M147" i="1"/>
  <c r="C148" i="1"/>
  <c r="D148" i="1"/>
  <c r="E148" i="1"/>
  <c r="F148" i="1"/>
  <c r="G148" i="1"/>
  <c r="H148" i="1"/>
  <c r="I148" i="1"/>
  <c r="J148" i="1"/>
  <c r="K148" i="1"/>
  <c r="L148" i="1"/>
  <c r="M148" i="1"/>
  <c r="C149" i="1"/>
  <c r="D149" i="1"/>
  <c r="E149" i="1"/>
  <c r="F149" i="1"/>
  <c r="G149" i="1"/>
  <c r="H149" i="1"/>
  <c r="I149" i="1"/>
  <c r="J149" i="1"/>
  <c r="K149" i="1"/>
  <c r="L149" i="1"/>
  <c r="M149" i="1"/>
  <c r="C113" i="1"/>
  <c r="D113" i="1"/>
  <c r="D233" i="1" s="1"/>
  <c r="E113" i="1"/>
  <c r="E233" i="1" s="1"/>
  <c r="F113" i="1"/>
  <c r="G113" i="1"/>
  <c r="H113" i="1"/>
  <c r="H233" i="1" s="1"/>
  <c r="I113" i="1"/>
  <c r="J113" i="1"/>
  <c r="K113" i="1"/>
  <c r="K233" i="1" s="1"/>
  <c r="L113" i="1"/>
  <c r="L233" i="1" s="1"/>
  <c r="M113" i="1"/>
  <c r="C114" i="1"/>
  <c r="D114" i="1"/>
  <c r="D234" i="1" s="1"/>
  <c r="E114" i="1"/>
  <c r="E234" i="1" s="1"/>
  <c r="F114" i="1"/>
  <c r="G114" i="1"/>
  <c r="H114" i="1"/>
  <c r="H234" i="1" s="1"/>
  <c r="I114" i="1"/>
  <c r="I234" i="1" s="1"/>
  <c r="J114" i="1"/>
  <c r="K114" i="1"/>
  <c r="L114" i="1"/>
  <c r="L234" i="1" s="1"/>
  <c r="M114" i="1"/>
  <c r="M234" i="1" s="1"/>
  <c r="C115" i="1"/>
  <c r="D115" i="1"/>
  <c r="E115" i="1"/>
  <c r="F115" i="1"/>
  <c r="G115" i="1"/>
  <c r="H115" i="1"/>
  <c r="I115" i="1"/>
  <c r="J115" i="1"/>
  <c r="K115" i="1"/>
  <c r="L115" i="1"/>
  <c r="M115" i="1"/>
  <c r="C116" i="1"/>
  <c r="D116" i="1"/>
  <c r="E116" i="1"/>
  <c r="F116" i="1"/>
  <c r="G116" i="1"/>
  <c r="H116" i="1"/>
  <c r="I116" i="1"/>
  <c r="J116" i="1"/>
  <c r="K116" i="1"/>
  <c r="L116" i="1"/>
  <c r="M116" i="1"/>
  <c r="C117" i="1"/>
  <c r="D117" i="1"/>
  <c r="E117" i="1"/>
  <c r="F117" i="1"/>
  <c r="G117" i="1"/>
  <c r="H117" i="1"/>
  <c r="I117" i="1"/>
  <c r="J117" i="1"/>
  <c r="K117" i="1"/>
  <c r="L117" i="1"/>
  <c r="M117" i="1"/>
  <c r="C118" i="1"/>
  <c r="D118" i="1"/>
  <c r="E118" i="1"/>
  <c r="F118" i="1"/>
  <c r="G118" i="1"/>
  <c r="H118" i="1"/>
  <c r="I118" i="1"/>
  <c r="J118" i="1"/>
  <c r="K118" i="1"/>
  <c r="L118" i="1"/>
  <c r="M118" i="1"/>
  <c r="C119" i="1"/>
  <c r="D119" i="1"/>
  <c r="E119" i="1"/>
  <c r="F119" i="1"/>
  <c r="G119" i="1"/>
  <c r="H119" i="1"/>
  <c r="I119" i="1"/>
  <c r="J119" i="1"/>
  <c r="K119" i="1"/>
  <c r="L119" i="1"/>
  <c r="M119" i="1"/>
  <c r="C120" i="1"/>
  <c r="D120" i="1"/>
  <c r="E120" i="1"/>
  <c r="F120" i="1"/>
  <c r="G120" i="1"/>
  <c r="H120" i="1"/>
  <c r="I120" i="1"/>
  <c r="J120" i="1"/>
  <c r="K120" i="1"/>
  <c r="L120" i="1"/>
  <c r="M120" i="1"/>
  <c r="C121" i="1"/>
  <c r="D121" i="1"/>
  <c r="E121" i="1"/>
  <c r="F121" i="1"/>
  <c r="G121" i="1"/>
  <c r="H121" i="1"/>
  <c r="I121" i="1"/>
  <c r="J121" i="1"/>
  <c r="K121" i="1"/>
  <c r="L121" i="1"/>
  <c r="M121" i="1"/>
  <c r="C122" i="1"/>
  <c r="D122" i="1"/>
  <c r="E122" i="1"/>
  <c r="F122" i="1"/>
  <c r="G122" i="1"/>
  <c r="H122" i="1"/>
  <c r="I122" i="1"/>
  <c r="J122" i="1"/>
  <c r="K122" i="1"/>
  <c r="L122" i="1"/>
  <c r="M122" i="1"/>
  <c r="C123" i="1"/>
  <c r="D123" i="1"/>
  <c r="E123" i="1"/>
  <c r="F123" i="1"/>
  <c r="G123" i="1"/>
  <c r="H123" i="1"/>
  <c r="I123" i="1"/>
  <c r="J123" i="1"/>
  <c r="K123" i="1"/>
  <c r="L123" i="1"/>
  <c r="M123" i="1"/>
  <c r="C124" i="1"/>
  <c r="D124" i="1"/>
  <c r="E124" i="1"/>
  <c r="F124" i="1"/>
  <c r="G124" i="1"/>
  <c r="H124" i="1"/>
  <c r="I124" i="1"/>
  <c r="J124" i="1"/>
  <c r="K124" i="1"/>
  <c r="L124" i="1"/>
  <c r="M124" i="1"/>
  <c r="C125" i="1"/>
  <c r="D125" i="1"/>
  <c r="E125" i="1"/>
  <c r="F125" i="1"/>
  <c r="G125" i="1"/>
  <c r="H125" i="1"/>
  <c r="I125" i="1"/>
  <c r="J125" i="1"/>
  <c r="K125" i="1"/>
  <c r="L125" i="1"/>
  <c r="M125" i="1"/>
  <c r="C126" i="1"/>
  <c r="D126" i="1"/>
  <c r="E126" i="1"/>
  <c r="F126" i="1"/>
  <c r="G126" i="1"/>
  <c r="H126" i="1"/>
  <c r="I126" i="1"/>
  <c r="J126" i="1"/>
  <c r="K126" i="1"/>
  <c r="L126" i="1"/>
  <c r="M126" i="1"/>
  <c r="C127" i="1"/>
  <c r="D127" i="1"/>
  <c r="E127" i="1"/>
  <c r="F127" i="1"/>
  <c r="G127" i="1"/>
  <c r="H127" i="1"/>
  <c r="I127" i="1"/>
  <c r="J127" i="1"/>
  <c r="K127" i="1"/>
  <c r="L127" i="1"/>
  <c r="M127" i="1"/>
  <c r="C128" i="1"/>
  <c r="D128" i="1"/>
  <c r="E128" i="1"/>
  <c r="F128" i="1"/>
  <c r="G128" i="1"/>
  <c r="H128" i="1"/>
  <c r="I128" i="1"/>
  <c r="J128" i="1"/>
  <c r="K128" i="1"/>
  <c r="L128" i="1"/>
  <c r="M128" i="1"/>
  <c r="C129" i="1"/>
  <c r="D129" i="1"/>
  <c r="E129" i="1"/>
  <c r="F129" i="1"/>
  <c r="G129" i="1"/>
  <c r="H129" i="1"/>
  <c r="I129" i="1"/>
  <c r="J129" i="1"/>
  <c r="K129" i="1"/>
  <c r="L129" i="1"/>
  <c r="M129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293" i="1"/>
  <c r="E96" i="2"/>
  <c r="E101" i="2"/>
  <c r="E102" i="2"/>
  <c r="C46" i="2"/>
  <c r="AK237" i="2"/>
  <c r="C19" i="6"/>
  <c r="E19" i="6"/>
  <c r="G19" i="6"/>
  <c r="O6" i="3"/>
  <c r="O7" i="3"/>
  <c r="O8" i="3"/>
  <c r="C8" i="3"/>
  <c r="D8" i="3"/>
  <c r="E8" i="3"/>
  <c r="F8" i="3"/>
  <c r="G8" i="3"/>
  <c r="H8" i="3"/>
  <c r="I8" i="3"/>
  <c r="J8" i="3"/>
  <c r="L8" i="3"/>
  <c r="M8" i="3"/>
  <c r="N8" i="3"/>
  <c r="O9" i="3"/>
  <c r="O11" i="3"/>
  <c r="O10" i="3"/>
  <c r="C11" i="3"/>
  <c r="D11" i="3"/>
  <c r="E11" i="3"/>
  <c r="F11" i="3"/>
  <c r="G11" i="3"/>
  <c r="H11" i="3"/>
  <c r="M11" i="3"/>
  <c r="N11" i="3"/>
  <c r="O12" i="3"/>
  <c r="O13" i="3"/>
  <c r="O14" i="3"/>
  <c r="C14" i="3"/>
  <c r="D14" i="3"/>
  <c r="E14" i="3"/>
  <c r="K14" i="3"/>
  <c r="N14" i="3"/>
  <c r="O15" i="3"/>
  <c r="M16" i="3"/>
  <c r="N16" i="3"/>
  <c r="C17" i="3"/>
  <c r="D17" i="3"/>
  <c r="E17" i="3"/>
  <c r="F17" i="3"/>
  <c r="G17" i="3"/>
  <c r="J17" i="3"/>
  <c r="M17" i="3"/>
  <c r="O18" i="3"/>
  <c r="F19" i="3"/>
  <c r="C20" i="3"/>
  <c r="D20" i="3"/>
  <c r="E20" i="3"/>
  <c r="O21" i="3"/>
  <c r="O22" i="3"/>
  <c r="O23" i="3"/>
  <c r="O24" i="3"/>
  <c r="C25" i="3"/>
  <c r="D25" i="3"/>
  <c r="D27" i="3"/>
  <c r="E25" i="3"/>
  <c r="E27" i="3"/>
  <c r="F25" i="3"/>
  <c r="F27" i="3"/>
  <c r="M25" i="3"/>
  <c r="M27" i="3"/>
  <c r="N25" i="3"/>
  <c r="N27" i="3"/>
  <c r="C26" i="3"/>
  <c r="O26" i="3"/>
  <c r="D26" i="3"/>
  <c r="E26" i="3"/>
  <c r="F26" i="3"/>
  <c r="N26" i="3"/>
  <c r="C27" i="3"/>
  <c r="G27" i="3"/>
  <c r="O28" i="3"/>
  <c r="C29" i="3"/>
  <c r="C31" i="3"/>
  <c r="D29" i="3"/>
  <c r="E29" i="3"/>
  <c r="E31" i="3"/>
  <c r="F29" i="3"/>
  <c r="F31" i="3"/>
  <c r="M29" i="3"/>
  <c r="M31" i="3"/>
  <c r="C30" i="3"/>
  <c r="D30" i="3"/>
  <c r="E30" i="3"/>
  <c r="F30" i="3"/>
  <c r="M30" i="3"/>
  <c r="D31" i="3"/>
  <c r="O32" i="3"/>
  <c r="C33" i="3"/>
  <c r="D33" i="3"/>
  <c r="E33" i="3"/>
  <c r="E35" i="3"/>
  <c r="N33" i="3"/>
  <c r="N35" i="3"/>
  <c r="C34" i="3"/>
  <c r="D34" i="3"/>
  <c r="E34" i="3"/>
  <c r="N34" i="3"/>
  <c r="O36" i="3"/>
  <c r="C37" i="3"/>
  <c r="D37" i="3"/>
  <c r="D39" i="3"/>
  <c r="E37" i="3"/>
  <c r="E39" i="3"/>
  <c r="F37" i="3"/>
  <c r="N37" i="3"/>
  <c r="N39" i="3"/>
  <c r="C38" i="3"/>
  <c r="D38" i="3"/>
  <c r="E38" i="3"/>
  <c r="F38" i="3"/>
  <c r="N38" i="3"/>
  <c r="C39" i="3"/>
  <c r="F39" i="3"/>
  <c r="M39" i="3"/>
  <c r="O40" i="3"/>
  <c r="C41" i="3"/>
  <c r="C43" i="3"/>
  <c r="D41" i="3"/>
  <c r="E41" i="3"/>
  <c r="E43" i="3"/>
  <c r="F41" i="3"/>
  <c r="C42" i="3"/>
  <c r="D42" i="3"/>
  <c r="E42" i="3"/>
  <c r="F42" i="3"/>
  <c r="F43" i="3"/>
  <c r="O44" i="3"/>
  <c r="C45" i="3"/>
  <c r="D45" i="3"/>
  <c r="E45" i="3"/>
  <c r="E47" i="3"/>
  <c r="F45" i="3"/>
  <c r="F47" i="3"/>
  <c r="M45" i="3"/>
  <c r="N45" i="3"/>
  <c r="N47" i="3"/>
  <c r="C46" i="3"/>
  <c r="D46" i="3"/>
  <c r="E46" i="3"/>
  <c r="F46" i="3"/>
  <c r="O46" i="3"/>
  <c r="M46" i="3"/>
  <c r="N46" i="3"/>
  <c r="C47" i="3"/>
  <c r="M47" i="3"/>
  <c r="O48" i="3"/>
  <c r="C49" i="3"/>
  <c r="D49" i="3"/>
  <c r="D51" i="3"/>
  <c r="E49" i="3"/>
  <c r="M49" i="3"/>
  <c r="N49" i="3"/>
  <c r="C50" i="3"/>
  <c r="D50" i="3"/>
  <c r="E50" i="3"/>
  <c r="M50" i="3"/>
  <c r="N50" i="3"/>
  <c r="F51" i="3"/>
  <c r="N51" i="3"/>
  <c r="O52" i="3"/>
  <c r="C53" i="3"/>
  <c r="D53" i="3"/>
  <c r="E53" i="3"/>
  <c r="N53" i="3"/>
  <c r="C54" i="3"/>
  <c r="D54" i="3"/>
  <c r="E54" i="3"/>
  <c r="N54" i="3"/>
  <c r="D55" i="3"/>
  <c r="F55" i="3"/>
  <c r="M55" i="3"/>
  <c r="O56" i="3"/>
  <c r="C57" i="3"/>
  <c r="C59" i="3"/>
  <c r="D57" i="3"/>
  <c r="D59" i="3"/>
  <c r="F57" i="3"/>
  <c r="D173" i="5"/>
  <c r="E173" i="5"/>
  <c r="C58" i="3"/>
  <c r="D58" i="3"/>
  <c r="F58" i="3"/>
  <c r="F59" i="3"/>
  <c r="E8" i="5"/>
  <c r="I8" i="5"/>
  <c r="E9" i="5"/>
  <c r="J9" i="5"/>
  <c r="E10" i="5"/>
  <c r="J10" i="5"/>
  <c r="C11" i="5"/>
  <c r="D11" i="5"/>
  <c r="E11" i="5"/>
  <c r="H11" i="5"/>
  <c r="E12" i="5"/>
  <c r="J12" i="5"/>
  <c r="E13" i="5"/>
  <c r="I13" i="5"/>
  <c r="E14" i="5"/>
  <c r="I14" i="5"/>
  <c r="J14" i="5"/>
  <c r="C15" i="5"/>
  <c r="D15" i="5"/>
  <c r="H15" i="5"/>
  <c r="E16" i="5"/>
  <c r="E17" i="5"/>
  <c r="C19" i="5"/>
  <c r="D19" i="5"/>
  <c r="H19" i="5"/>
  <c r="I19" i="5"/>
  <c r="E20" i="5"/>
  <c r="E21" i="5"/>
  <c r="I21" i="5"/>
  <c r="E22" i="5"/>
  <c r="J22" i="5"/>
  <c r="C23" i="5"/>
  <c r="D23" i="5"/>
  <c r="H23" i="5"/>
  <c r="D25" i="5"/>
  <c r="D31" i="5"/>
  <c r="I31" i="5"/>
  <c r="J31" i="5"/>
  <c r="D32" i="5"/>
  <c r="E32" i="5"/>
  <c r="I32" i="5"/>
  <c r="D33" i="5"/>
  <c r="E33" i="5"/>
  <c r="I33" i="5"/>
  <c r="J33" i="5"/>
  <c r="C34" i="5"/>
  <c r="H34" i="5"/>
  <c r="I35" i="5"/>
  <c r="J35" i="5"/>
  <c r="I36" i="5"/>
  <c r="J36" i="5"/>
  <c r="C38" i="5"/>
  <c r="C47" i="5"/>
  <c r="D38" i="5"/>
  <c r="H38" i="5"/>
  <c r="J40" i="5"/>
  <c r="J42" i="5"/>
  <c r="D41" i="5"/>
  <c r="D42" i="5"/>
  <c r="E42" i="5"/>
  <c r="C42" i="5"/>
  <c r="C48" i="5"/>
  <c r="H42" i="5"/>
  <c r="H47" i="5"/>
  <c r="H48" i="5"/>
  <c r="I42" i="5"/>
  <c r="D45" i="5"/>
  <c r="E45" i="5"/>
  <c r="E46" i="5"/>
  <c r="C46" i="5"/>
  <c r="H46" i="5"/>
  <c r="I46" i="5"/>
  <c r="J46" i="5"/>
  <c r="E54" i="5"/>
  <c r="J54" i="5"/>
  <c r="E55" i="5"/>
  <c r="J55" i="5"/>
  <c r="E56" i="5"/>
  <c r="J56" i="5"/>
  <c r="C57" i="5"/>
  <c r="D57" i="5"/>
  <c r="H57" i="5"/>
  <c r="I57" i="5"/>
  <c r="E58" i="5"/>
  <c r="J58" i="5"/>
  <c r="E59" i="5"/>
  <c r="J59" i="5"/>
  <c r="C61" i="5"/>
  <c r="D61" i="5"/>
  <c r="H61" i="5"/>
  <c r="I61" i="5"/>
  <c r="E63" i="5"/>
  <c r="J63" i="5"/>
  <c r="J65" i="5"/>
  <c r="C65" i="5"/>
  <c r="D65" i="5"/>
  <c r="E65" i="5"/>
  <c r="H65" i="5"/>
  <c r="I65" i="5"/>
  <c r="J67" i="5"/>
  <c r="J69" i="5"/>
  <c r="J68" i="5"/>
  <c r="C69" i="5"/>
  <c r="D69" i="5"/>
  <c r="E69" i="5"/>
  <c r="H69" i="5"/>
  <c r="I69" i="5"/>
  <c r="H70" i="5"/>
  <c r="H71" i="5"/>
  <c r="E77" i="5"/>
  <c r="J77" i="5"/>
  <c r="E78" i="5"/>
  <c r="J78" i="5"/>
  <c r="E79" i="5"/>
  <c r="J79" i="5"/>
  <c r="C80" i="5"/>
  <c r="D80" i="5"/>
  <c r="H80" i="5"/>
  <c r="I80" i="5"/>
  <c r="E81" i="5"/>
  <c r="J81" i="5"/>
  <c r="E82" i="5"/>
  <c r="J82" i="5"/>
  <c r="C84" i="5"/>
  <c r="D84" i="5"/>
  <c r="H84" i="5"/>
  <c r="I84" i="5"/>
  <c r="J84" i="5"/>
  <c r="J86" i="5"/>
  <c r="J88" i="5"/>
  <c r="C88" i="5"/>
  <c r="D88" i="5"/>
  <c r="E88" i="5"/>
  <c r="H88" i="5"/>
  <c r="I88" i="5"/>
  <c r="E90" i="5"/>
  <c r="E91" i="5"/>
  <c r="E92" i="5"/>
  <c r="C92" i="5"/>
  <c r="D92" i="5"/>
  <c r="H92" i="5"/>
  <c r="I92" i="5"/>
  <c r="J92" i="5"/>
  <c r="D100" i="5"/>
  <c r="E100" i="5"/>
  <c r="H100" i="5"/>
  <c r="I100" i="5"/>
  <c r="J100" i="5" s="1"/>
  <c r="C101" i="5"/>
  <c r="D101" i="5"/>
  <c r="E101" i="5" s="1"/>
  <c r="H101" i="5"/>
  <c r="I101" i="5"/>
  <c r="C102" i="5"/>
  <c r="D102" i="5"/>
  <c r="H102" i="5"/>
  <c r="I102" i="5"/>
  <c r="J102" i="5" s="1"/>
  <c r="E104" i="5"/>
  <c r="H104" i="5"/>
  <c r="H107" i="5"/>
  <c r="I104" i="5"/>
  <c r="I107" i="5" s="1"/>
  <c r="J107" i="5" s="1"/>
  <c r="E105" i="5"/>
  <c r="J105" i="5"/>
  <c r="C107" i="5"/>
  <c r="D107" i="5"/>
  <c r="E109" i="5"/>
  <c r="J109" i="5"/>
  <c r="J111" i="5"/>
  <c r="C111" i="5"/>
  <c r="D111" i="5"/>
  <c r="E111" i="5"/>
  <c r="H111" i="5"/>
  <c r="I111" i="5"/>
  <c r="H113" i="5"/>
  <c r="I113" i="5"/>
  <c r="J113" i="5"/>
  <c r="H114" i="5"/>
  <c r="I114" i="5"/>
  <c r="J114" i="5"/>
  <c r="C115" i="5"/>
  <c r="D115" i="5"/>
  <c r="E115" i="5"/>
  <c r="E123" i="5"/>
  <c r="J123" i="5"/>
  <c r="E124" i="5"/>
  <c r="J124" i="5"/>
  <c r="C125" i="5"/>
  <c r="C126" i="5"/>
  <c r="C139" i="5"/>
  <c r="C140" i="5" s="1"/>
  <c r="D125" i="5"/>
  <c r="E125" i="5" s="1"/>
  <c r="J125" i="5"/>
  <c r="H126" i="5"/>
  <c r="I126" i="5"/>
  <c r="E127" i="5"/>
  <c r="J127" i="5"/>
  <c r="E128" i="5"/>
  <c r="J128" i="5"/>
  <c r="C130" i="5"/>
  <c r="D130" i="5"/>
  <c r="H130" i="5"/>
  <c r="J130" i="5"/>
  <c r="I130" i="5"/>
  <c r="E132" i="5"/>
  <c r="J132" i="5"/>
  <c r="J134" i="5"/>
  <c r="C134" i="5"/>
  <c r="D134" i="5"/>
  <c r="E134" i="5"/>
  <c r="H134" i="5"/>
  <c r="I134" i="5"/>
  <c r="E136" i="5"/>
  <c r="E138" i="5"/>
  <c r="J136" i="5"/>
  <c r="J138" i="5" s="1"/>
  <c r="J139" i="5" s="1"/>
  <c r="E137" i="5"/>
  <c r="J137" i="5"/>
  <c r="C138" i="5"/>
  <c r="D138" i="5"/>
  <c r="H138" i="5"/>
  <c r="I138" i="5"/>
  <c r="C146" i="5"/>
  <c r="H146" i="5"/>
  <c r="C147" i="5"/>
  <c r="D147" i="5"/>
  <c r="H147" i="5"/>
  <c r="I147" i="5"/>
  <c r="J147" i="5"/>
  <c r="C148" i="5"/>
  <c r="C149" i="5"/>
  <c r="H148" i="5"/>
  <c r="H149" i="5"/>
  <c r="C150" i="5"/>
  <c r="D150" i="5"/>
  <c r="H150" i="5"/>
  <c r="I150" i="5"/>
  <c r="C151" i="5"/>
  <c r="D151" i="5"/>
  <c r="C152" i="5"/>
  <c r="D152" i="5"/>
  <c r="C154" i="5"/>
  <c r="D154" i="5"/>
  <c r="D157" i="5"/>
  <c r="C155" i="5"/>
  <c r="D155" i="5"/>
  <c r="C156" i="5"/>
  <c r="D156" i="5"/>
  <c r="E157" i="5"/>
  <c r="H157" i="5"/>
  <c r="I157" i="5"/>
  <c r="J157" i="5"/>
  <c r="C158" i="5"/>
  <c r="C161" i="5"/>
  <c r="D158" i="5"/>
  <c r="C159" i="5"/>
  <c r="H159" i="5"/>
  <c r="H161" i="5"/>
  <c r="I159" i="5"/>
  <c r="C160" i="5"/>
  <c r="D160" i="5"/>
  <c r="H160" i="5"/>
  <c r="C169" i="5"/>
  <c r="D169" i="5"/>
  <c r="C170" i="5"/>
  <c r="C171" i="5"/>
  <c r="D171" i="5"/>
  <c r="E171" i="5"/>
  <c r="C173" i="5"/>
  <c r="C174" i="5"/>
  <c r="C176" i="5"/>
  <c r="D174" i="5"/>
  <c r="C175" i="5"/>
  <c r="D175" i="5"/>
  <c r="C177" i="5"/>
  <c r="D177" i="5"/>
  <c r="C178" i="5"/>
  <c r="D178" i="5"/>
  <c r="C179" i="5"/>
  <c r="D179" i="5"/>
  <c r="E180" i="5"/>
  <c r="C181" i="5"/>
  <c r="D181" i="5"/>
  <c r="C182" i="5"/>
  <c r="D182" i="5"/>
  <c r="E182" i="5"/>
  <c r="E184" i="5"/>
  <c r="C183" i="5"/>
  <c r="D183" i="5"/>
  <c r="Q13" i="1"/>
  <c r="R13" i="1"/>
  <c r="R16" i="1" s="1"/>
  <c r="S13" i="1"/>
  <c r="T13" i="1"/>
  <c r="U13" i="1"/>
  <c r="U16" i="1" s="1"/>
  <c r="V13" i="1"/>
  <c r="V16" i="1" s="1"/>
  <c r="W13" i="1"/>
  <c r="W16" i="1" s="1"/>
  <c r="X13" i="1"/>
  <c r="Q14" i="1"/>
  <c r="Q16" i="1"/>
  <c r="R14" i="1"/>
  <c r="S14" i="1"/>
  <c r="T14" i="1"/>
  <c r="T16" i="1" s="1"/>
  <c r="U14" i="1"/>
  <c r="V14" i="1"/>
  <c r="W14" i="1"/>
  <c r="X14" i="1"/>
  <c r="Q15" i="1"/>
  <c r="R15" i="1"/>
  <c r="S15" i="1"/>
  <c r="T15" i="1"/>
  <c r="U15" i="1"/>
  <c r="V15" i="1"/>
  <c r="W15" i="1"/>
  <c r="X15" i="1"/>
  <c r="X16" i="1"/>
  <c r="Q17" i="1"/>
  <c r="Q20" i="1" s="1"/>
  <c r="R17" i="1"/>
  <c r="S17" i="1"/>
  <c r="T17" i="1"/>
  <c r="U17" i="1"/>
  <c r="V17" i="1"/>
  <c r="W17" i="1"/>
  <c r="X17" i="1"/>
  <c r="Q18" i="1"/>
  <c r="R18" i="1"/>
  <c r="S18" i="1"/>
  <c r="T18" i="1"/>
  <c r="U18" i="1"/>
  <c r="U20" i="1" s="1"/>
  <c r="V18" i="1"/>
  <c r="W18" i="1"/>
  <c r="X18" i="1"/>
  <c r="Q19" i="1"/>
  <c r="R19" i="1"/>
  <c r="S19" i="1"/>
  <c r="T19" i="1"/>
  <c r="U19" i="1"/>
  <c r="V19" i="1"/>
  <c r="W19" i="1"/>
  <c r="X19" i="1"/>
  <c r="X20" i="1"/>
  <c r="Q21" i="1"/>
  <c r="R21" i="1"/>
  <c r="S21" i="1"/>
  <c r="S24" i="1"/>
  <c r="T21" i="1"/>
  <c r="T24" i="1" s="1"/>
  <c r="U21" i="1"/>
  <c r="V21" i="1"/>
  <c r="V24" i="1" s="1"/>
  <c r="W21" i="1"/>
  <c r="X21" i="1"/>
  <c r="Q22" i="1"/>
  <c r="R22" i="1"/>
  <c r="S22" i="1"/>
  <c r="T22" i="1"/>
  <c r="U22" i="1"/>
  <c r="V22" i="1"/>
  <c r="W22" i="1"/>
  <c r="X22" i="1"/>
  <c r="Q23" i="1"/>
  <c r="R23" i="1"/>
  <c r="S23" i="1"/>
  <c r="T23" i="1"/>
  <c r="U23" i="1"/>
  <c r="V23" i="1"/>
  <c r="W23" i="1"/>
  <c r="X23" i="1"/>
  <c r="X24" i="1"/>
  <c r="Q25" i="1"/>
  <c r="Q28" i="1" s="1"/>
  <c r="R25" i="1"/>
  <c r="R28" i="1" s="1"/>
  <c r="S25" i="1"/>
  <c r="T25" i="1"/>
  <c r="U25" i="1"/>
  <c r="U28" i="1" s="1"/>
  <c r="U29" i="1" s="1"/>
  <c r="V25" i="1"/>
  <c r="W25" i="1"/>
  <c r="W28" i="1" s="1"/>
  <c r="X25" i="1"/>
  <c r="P26" i="1"/>
  <c r="Q26" i="1"/>
  <c r="R26" i="1"/>
  <c r="S26" i="1"/>
  <c r="T26" i="1"/>
  <c r="T28" i="1" s="1"/>
  <c r="T29" i="1" s="1"/>
  <c r="U26" i="1"/>
  <c r="V26" i="1"/>
  <c r="V28" i="1" s="1"/>
  <c r="W26" i="1"/>
  <c r="X26" i="1"/>
  <c r="P27" i="1"/>
  <c r="Q27" i="1"/>
  <c r="R27" i="1"/>
  <c r="S27" i="1"/>
  <c r="S28" i="1" s="1"/>
  <c r="S29" i="1" s="1"/>
  <c r="T27" i="1"/>
  <c r="U27" i="1"/>
  <c r="V27" i="1"/>
  <c r="W27" i="1"/>
  <c r="X27" i="1"/>
  <c r="X28" i="1"/>
  <c r="X29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X108" i="1"/>
  <c r="Y108" i="1"/>
  <c r="X109" i="1"/>
  <c r="Y109" i="1"/>
  <c r="C313" i="1"/>
  <c r="E313" i="1"/>
  <c r="C314" i="1"/>
  <c r="E314" i="1"/>
  <c r="F314" i="1"/>
  <c r="C4" i="2"/>
  <c r="C5" i="2"/>
  <c r="C6" i="2"/>
  <c r="F6" i="2"/>
  <c r="C7" i="2"/>
  <c r="F7" i="2"/>
  <c r="C8" i="2"/>
  <c r="F8" i="2"/>
  <c r="C9" i="2"/>
  <c r="F9" i="2"/>
  <c r="C10" i="2"/>
  <c r="F10" i="2"/>
  <c r="C11" i="2"/>
  <c r="F11" i="2"/>
  <c r="C12" i="2"/>
  <c r="F12" i="2"/>
  <c r="C13" i="2"/>
  <c r="C14" i="2"/>
  <c r="F14" i="2"/>
  <c r="C15" i="2"/>
  <c r="F15" i="2"/>
  <c r="B16" i="2"/>
  <c r="D16" i="2"/>
  <c r="E16" i="2"/>
  <c r="C19" i="2"/>
  <c r="C20" i="2"/>
  <c r="F20" i="2"/>
  <c r="AB94" i="1"/>
  <c r="AC94" i="1"/>
  <c r="C21" i="2"/>
  <c r="F21" i="2"/>
  <c r="C22" i="2"/>
  <c r="F22" i="2"/>
  <c r="C23" i="2"/>
  <c r="F23" i="2"/>
  <c r="C24" i="2"/>
  <c r="F24" i="2"/>
  <c r="C25" i="2"/>
  <c r="F25" i="2"/>
  <c r="C26" i="2"/>
  <c r="F26" i="2"/>
  <c r="C27" i="2"/>
  <c r="F27" i="2"/>
  <c r="C28" i="2"/>
  <c r="F28" i="2"/>
  <c r="C29" i="2"/>
  <c r="F29" i="2"/>
  <c r="C30" i="2"/>
  <c r="F30" i="2"/>
  <c r="B31" i="2"/>
  <c r="D31" i="2"/>
  <c r="E31" i="2"/>
  <c r="C36" i="2"/>
  <c r="C37" i="2"/>
  <c r="F37" i="2"/>
  <c r="C38" i="2"/>
  <c r="F38" i="2"/>
  <c r="C39" i="2"/>
  <c r="C40" i="2"/>
  <c r="F40" i="2"/>
  <c r="C41" i="2"/>
  <c r="F41" i="2"/>
  <c r="C42" i="2"/>
  <c r="F42" i="2"/>
  <c r="C43" i="2"/>
  <c r="F43" i="2"/>
  <c r="C44" i="2"/>
  <c r="F44" i="2"/>
  <c r="C45" i="2"/>
  <c r="F45" i="2"/>
  <c r="C51" i="2"/>
  <c r="F51" i="2"/>
  <c r="C52" i="2"/>
  <c r="F52" i="2"/>
  <c r="C53" i="2"/>
  <c r="F53" i="2"/>
  <c r="C54" i="2"/>
  <c r="F54" i="2"/>
  <c r="C55" i="2"/>
  <c r="F55" i="2"/>
  <c r="C56" i="2"/>
  <c r="F56" i="2"/>
  <c r="C57" i="2"/>
  <c r="C58" i="2"/>
  <c r="F58" i="2"/>
  <c r="C59" i="2"/>
  <c r="F59" i="2"/>
  <c r="C60" i="2"/>
  <c r="F60" i="2"/>
  <c r="C61" i="2"/>
  <c r="F61" i="2"/>
  <c r="B62" i="2"/>
  <c r="E62" i="2"/>
  <c r="C66" i="2"/>
  <c r="F66" i="2"/>
  <c r="AB54" i="1"/>
  <c r="C67" i="2"/>
  <c r="G316" i="1"/>
  <c r="G329" i="1"/>
  <c r="C68" i="2"/>
  <c r="C69" i="2"/>
  <c r="C70" i="2"/>
  <c r="C71" i="2"/>
  <c r="C72" i="2"/>
  <c r="F72" i="2"/>
  <c r="C73" i="2"/>
  <c r="C74" i="2"/>
  <c r="C75" i="2"/>
  <c r="C76" i="2"/>
  <c r="B77" i="2"/>
  <c r="D77" i="2"/>
  <c r="B95" i="2"/>
  <c r="B96" i="2"/>
  <c r="B81" i="2"/>
  <c r="D96" i="2"/>
  <c r="D81" i="2"/>
  <c r="B97" i="2"/>
  <c r="M316" i="1"/>
  <c r="M329" i="1"/>
  <c r="D97" i="2"/>
  <c r="O316" i="1"/>
  <c r="O329" i="1"/>
  <c r="E97" i="2"/>
  <c r="E107" i="2"/>
  <c r="B98" i="2"/>
  <c r="D98" i="2"/>
  <c r="E98" i="2"/>
  <c r="B99" i="2"/>
  <c r="D99" i="2"/>
  <c r="E99" i="2"/>
  <c r="B100" i="2"/>
  <c r="D100" i="2"/>
  <c r="E100" i="2"/>
  <c r="B101" i="2"/>
  <c r="B86" i="2"/>
  <c r="D101" i="2"/>
  <c r="B102" i="2"/>
  <c r="D102" i="2"/>
  <c r="D87" i="2"/>
  <c r="B103" i="2"/>
  <c r="D103" i="2"/>
  <c r="E103" i="2"/>
  <c r="B104" i="2"/>
  <c r="D104" i="2"/>
  <c r="E104" i="2"/>
  <c r="E89" i="2"/>
  <c r="B105" i="2"/>
  <c r="D105" i="2"/>
  <c r="E105" i="2"/>
  <c r="B106" i="2"/>
  <c r="B91" i="2"/>
  <c r="E106" i="2"/>
  <c r="G111" i="2"/>
  <c r="G114" i="2"/>
  <c r="G112" i="2"/>
  <c r="G113" i="2"/>
  <c r="B114" i="2"/>
  <c r="C293" i="1"/>
  <c r="C114" i="2"/>
  <c r="D293" i="1"/>
  <c r="D114" i="2"/>
  <c r="E293" i="1"/>
  <c r="E114" i="2"/>
  <c r="F293" i="1"/>
  <c r="F114" i="2"/>
  <c r="G293" i="1"/>
  <c r="G116" i="2"/>
  <c r="G117" i="2"/>
  <c r="G118" i="2"/>
  <c r="B119" i="2"/>
  <c r="C294" i="1"/>
  <c r="C119" i="2"/>
  <c r="D294" i="1"/>
  <c r="D119" i="2"/>
  <c r="E294" i="1"/>
  <c r="E119" i="2"/>
  <c r="F294" i="1"/>
  <c r="F119" i="2"/>
  <c r="G294" i="1"/>
  <c r="G121" i="2"/>
  <c r="G122" i="2"/>
  <c r="G123" i="2"/>
  <c r="B124" i="2"/>
  <c r="C296" i="1"/>
  <c r="I296" i="1" s="1"/>
  <c r="C124" i="2"/>
  <c r="D296" i="1"/>
  <c r="D309" i="1"/>
  <c r="D124" i="2"/>
  <c r="E296" i="1"/>
  <c r="E309" i="1"/>
  <c r="E124" i="2"/>
  <c r="F296" i="1"/>
  <c r="F309" i="1" s="1"/>
  <c r="F124" i="2"/>
  <c r="G296" i="1"/>
  <c r="G309" i="1"/>
  <c r="G130" i="2"/>
  <c r="G133" i="2"/>
  <c r="G145" i="2"/>
  <c r="G131" i="2"/>
  <c r="G132" i="2"/>
  <c r="B133" i="2"/>
  <c r="C133" i="2"/>
  <c r="D133" i="2"/>
  <c r="E133" i="2"/>
  <c r="F133" i="2"/>
  <c r="G135" i="2"/>
  <c r="G136" i="2"/>
  <c r="G137" i="2"/>
  <c r="B138" i="2"/>
  <c r="C138" i="2"/>
  <c r="D138" i="2"/>
  <c r="E138" i="2"/>
  <c r="F138" i="2"/>
  <c r="G140" i="2"/>
  <c r="G141" i="2"/>
  <c r="G142" i="2"/>
  <c r="B143" i="2"/>
  <c r="C143" i="2"/>
  <c r="D143" i="2"/>
  <c r="E143" i="2"/>
  <c r="F143" i="2"/>
  <c r="G149" i="2"/>
  <c r="G150" i="2"/>
  <c r="G151" i="2"/>
  <c r="B152" i="2"/>
  <c r="C152" i="2"/>
  <c r="D152" i="2"/>
  <c r="E152" i="2"/>
  <c r="F152" i="2"/>
  <c r="G154" i="2"/>
  <c r="G155" i="2"/>
  <c r="G157" i="2"/>
  <c r="G156" i="2"/>
  <c r="B157" i="2"/>
  <c r="C157" i="2"/>
  <c r="D157" i="2"/>
  <c r="E157" i="2"/>
  <c r="F157" i="2"/>
  <c r="G159" i="2"/>
  <c r="G160" i="2"/>
  <c r="G161" i="2"/>
  <c r="B162" i="2"/>
  <c r="C162" i="2"/>
  <c r="D162" i="2"/>
  <c r="E162" i="2"/>
  <c r="F162" i="2"/>
  <c r="G168" i="2"/>
  <c r="G169" i="2"/>
  <c r="G170" i="2"/>
  <c r="B171" i="2"/>
  <c r="C171" i="2"/>
  <c r="D171" i="2"/>
  <c r="E171" i="2"/>
  <c r="F171" i="2"/>
  <c r="G173" i="2"/>
  <c r="G174" i="2"/>
  <c r="G175" i="2"/>
  <c r="B176" i="2"/>
  <c r="C176" i="2"/>
  <c r="D176" i="2"/>
  <c r="E176" i="2"/>
  <c r="F176" i="2"/>
  <c r="G178" i="2"/>
  <c r="G179" i="2"/>
  <c r="G180" i="2"/>
  <c r="B181" i="2"/>
  <c r="C181" i="2"/>
  <c r="D181" i="2"/>
  <c r="E181" i="2"/>
  <c r="F181" i="2"/>
  <c r="AK190" i="2"/>
  <c r="AK191" i="2"/>
  <c r="AK192" i="2"/>
  <c r="AK193" i="2"/>
  <c r="B193" i="2"/>
  <c r="C173" i="1"/>
  <c r="C193" i="2"/>
  <c r="D173" i="1"/>
  <c r="D193" i="2"/>
  <c r="E173" i="1"/>
  <c r="E193" i="2"/>
  <c r="F173" i="1"/>
  <c r="F193" i="2"/>
  <c r="G173" i="1"/>
  <c r="G233" i="1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J173" i="1"/>
  <c r="J233" i="1"/>
  <c r="AH193" i="2"/>
  <c r="I173" i="1"/>
  <c r="AI193" i="2"/>
  <c r="AJ193" i="2"/>
  <c r="AK195" i="2"/>
  <c r="AK196" i="2"/>
  <c r="AK197" i="2"/>
  <c r="B198" i="2"/>
  <c r="C174" i="1"/>
  <c r="C198" i="2"/>
  <c r="D174" i="1"/>
  <c r="D198" i="2"/>
  <c r="E174" i="1"/>
  <c r="E198" i="2"/>
  <c r="F174" i="1"/>
  <c r="F198" i="2"/>
  <c r="G174" i="1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J174" i="1"/>
  <c r="J234" i="1"/>
  <c r="AH198" i="2"/>
  <c r="I174" i="1"/>
  <c r="AI198" i="2"/>
  <c r="AJ198" i="2"/>
  <c r="AK200" i="2"/>
  <c r="AK201" i="2"/>
  <c r="AK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5" i="2"/>
  <c r="AK208" i="2"/>
  <c r="AK206" i="2"/>
  <c r="AK207" i="2"/>
  <c r="AK334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10" i="2"/>
  <c r="AK211" i="2"/>
  <c r="AK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5" i="2"/>
  <c r="AK216" i="2"/>
  <c r="AK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20" i="2"/>
  <c r="AK221" i="2"/>
  <c r="AK223" i="2"/>
  <c r="AK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5" i="2"/>
  <c r="AK226" i="2"/>
  <c r="AK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M228" i="2"/>
  <c r="AN228" i="2"/>
  <c r="AK230" i="2"/>
  <c r="AK231" i="2"/>
  <c r="AK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5" i="2"/>
  <c r="AK236" i="2"/>
  <c r="AK238" i="2"/>
  <c r="AO236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40" i="2"/>
  <c r="AK241" i="2"/>
  <c r="AK242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5" i="2"/>
  <c r="AK246" i="2"/>
  <c r="AK247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54" i="2"/>
  <c r="AK255" i="2"/>
  <c r="AK256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9" i="2"/>
  <c r="AK260" i="2"/>
  <c r="AK261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4" i="2"/>
  <c r="AK265" i="2"/>
  <c r="AK266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9" i="2"/>
  <c r="AK272" i="2"/>
  <c r="AK270" i="2"/>
  <c r="AK271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4" i="2"/>
  <c r="AK275" i="2"/>
  <c r="AK276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9" i="2"/>
  <c r="AK342" i="2"/>
  <c r="AK280" i="2"/>
  <c r="AK281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4" i="2"/>
  <c r="AK285" i="2"/>
  <c r="AK287" i="2"/>
  <c r="AK286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9" i="2"/>
  <c r="AK290" i="2"/>
  <c r="AK291" i="2"/>
  <c r="AK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4" i="2"/>
  <c r="AK297" i="2"/>
  <c r="AK295" i="2"/>
  <c r="AK296" i="2"/>
  <c r="AN296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9" i="2"/>
  <c r="AK302" i="2"/>
  <c r="AK300" i="2"/>
  <c r="AK301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4" i="2"/>
  <c r="AK305" i="2"/>
  <c r="AK306" i="2"/>
  <c r="AK369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9" i="2"/>
  <c r="AK372" i="2"/>
  <c r="AK310" i="2"/>
  <c r="AK373" i="2"/>
  <c r="AK311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B317" i="2"/>
  <c r="C317" i="2"/>
  <c r="D317" i="2"/>
  <c r="E317" i="2"/>
  <c r="E320" i="2"/>
  <c r="F317" i="2"/>
  <c r="G317" i="2"/>
  <c r="H317" i="2"/>
  <c r="H320" i="2"/>
  <c r="I317" i="2"/>
  <c r="J317" i="2"/>
  <c r="K317" i="2"/>
  <c r="L317" i="2"/>
  <c r="M317" i="2"/>
  <c r="N317" i="2"/>
  <c r="O317" i="2"/>
  <c r="P317" i="2"/>
  <c r="P320" i="2"/>
  <c r="Q317" i="2"/>
  <c r="R317" i="2"/>
  <c r="R320" i="2"/>
  <c r="S317" i="2"/>
  <c r="T317" i="2"/>
  <c r="U317" i="2"/>
  <c r="V317" i="2"/>
  <c r="W317" i="2"/>
  <c r="X317" i="2"/>
  <c r="Y317" i="2"/>
  <c r="Z317" i="2"/>
  <c r="AA317" i="2"/>
  <c r="AB317" i="2"/>
  <c r="AC317" i="2"/>
  <c r="AC320" i="2"/>
  <c r="AD317" i="2"/>
  <c r="AE317" i="2"/>
  <c r="AF317" i="2"/>
  <c r="AG317" i="2"/>
  <c r="AH317" i="2"/>
  <c r="AH320" i="2"/>
  <c r="AI317" i="2"/>
  <c r="AJ317" i="2"/>
  <c r="B318" i="2"/>
  <c r="C318" i="2"/>
  <c r="D318" i="2"/>
  <c r="E318" i="2"/>
  <c r="F318" i="2"/>
  <c r="G318" i="2"/>
  <c r="H318" i="2"/>
  <c r="I318" i="2"/>
  <c r="J318" i="2"/>
  <c r="K318" i="2"/>
  <c r="K320" i="2"/>
  <c r="L318" i="2"/>
  <c r="M318" i="2"/>
  <c r="N318" i="2"/>
  <c r="O318" i="2"/>
  <c r="O320" i="2"/>
  <c r="P318" i="2"/>
  <c r="Q318" i="2"/>
  <c r="R318" i="2"/>
  <c r="S318" i="2"/>
  <c r="T318" i="2"/>
  <c r="U318" i="2"/>
  <c r="U320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B319" i="2"/>
  <c r="C319" i="2"/>
  <c r="D319" i="2"/>
  <c r="E319" i="2"/>
  <c r="F319" i="2"/>
  <c r="G319" i="2"/>
  <c r="G320" i="2"/>
  <c r="H319" i="2"/>
  <c r="I319" i="2"/>
  <c r="J319" i="2"/>
  <c r="K319" i="2"/>
  <c r="L319" i="2"/>
  <c r="L320" i="2"/>
  <c r="M319" i="2"/>
  <c r="M320" i="2"/>
  <c r="N319" i="2"/>
  <c r="N320" i="2"/>
  <c r="O319" i="2"/>
  <c r="P319" i="2"/>
  <c r="Q319" i="2"/>
  <c r="Q320" i="2"/>
  <c r="R319" i="2"/>
  <c r="S319" i="2"/>
  <c r="T319" i="2"/>
  <c r="T320" i="2"/>
  <c r="U319" i="2"/>
  <c r="V319" i="2"/>
  <c r="W319" i="2"/>
  <c r="X319" i="2"/>
  <c r="Y319" i="2"/>
  <c r="Y320" i="2"/>
  <c r="Z319" i="2"/>
  <c r="AA319" i="2"/>
  <c r="AB319" i="2"/>
  <c r="AB320" i="2"/>
  <c r="AC319" i="2"/>
  <c r="AD319" i="2"/>
  <c r="AE319" i="2"/>
  <c r="AF319" i="2"/>
  <c r="AG319" i="2"/>
  <c r="AG320" i="2"/>
  <c r="J193" i="1"/>
  <c r="J213" i="1"/>
  <c r="AH319" i="2"/>
  <c r="AI319" i="2"/>
  <c r="AJ319" i="2"/>
  <c r="B322" i="2"/>
  <c r="C322" i="2"/>
  <c r="D322" i="2"/>
  <c r="E322" i="2"/>
  <c r="F322" i="2"/>
  <c r="G322" i="2"/>
  <c r="H322" i="2"/>
  <c r="I322" i="2"/>
  <c r="J322" i="2"/>
  <c r="K322" i="2"/>
  <c r="L322" i="2"/>
  <c r="L325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X325" i="2"/>
  <c r="Y322" i="2"/>
  <c r="Y325" i="2"/>
  <c r="Z322" i="2"/>
  <c r="Z325" i="2"/>
  <c r="AA322" i="2"/>
  <c r="AB322" i="2"/>
  <c r="AB325" i="2"/>
  <c r="AC322" i="2"/>
  <c r="AD322" i="2"/>
  <c r="AE322" i="2"/>
  <c r="AF322" i="2"/>
  <c r="AG322" i="2"/>
  <c r="AG325" i="2"/>
  <c r="J194" i="1"/>
  <c r="AH322" i="2"/>
  <c r="AI322" i="2"/>
  <c r="AJ322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AC325" i="2"/>
  <c r="AD323" i="2"/>
  <c r="AE323" i="2"/>
  <c r="AF323" i="2"/>
  <c r="AG323" i="2"/>
  <c r="AH323" i="2"/>
  <c r="AI323" i="2"/>
  <c r="AJ323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Q325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B327" i="2"/>
  <c r="C327" i="2"/>
  <c r="D327" i="2"/>
  <c r="E327" i="2"/>
  <c r="E330" i="2"/>
  <c r="F327" i="2"/>
  <c r="G327" i="2"/>
  <c r="H327" i="2"/>
  <c r="I327" i="2"/>
  <c r="I330" i="2"/>
  <c r="I376" i="2"/>
  <c r="J327" i="2"/>
  <c r="K327" i="2"/>
  <c r="L327" i="2"/>
  <c r="M327" i="2"/>
  <c r="M330" i="2"/>
  <c r="N327" i="2"/>
  <c r="O327" i="2"/>
  <c r="P327" i="2"/>
  <c r="Q327" i="2"/>
  <c r="R327" i="2"/>
  <c r="S327" i="2"/>
  <c r="T327" i="2"/>
  <c r="U327" i="2"/>
  <c r="U330" i="2"/>
  <c r="U376" i="2"/>
  <c r="V327" i="2"/>
  <c r="W327" i="2"/>
  <c r="X327" i="2"/>
  <c r="X330" i="2"/>
  <c r="X376" i="2"/>
  <c r="Y327" i="2"/>
  <c r="Z327" i="2"/>
  <c r="AA327" i="2"/>
  <c r="AB327" i="2"/>
  <c r="AB330" i="2"/>
  <c r="AB376" i="2"/>
  <c r="AC327" i="2"/>
  <c r="AD327" i="2"/>
  <c r="AD330" i="2"/>
  <c r="AD376" i="2"/>
  <c r="AE327" i="2"/>
  <c r="AF327" i="2"/>
  <c r="AG327" i="2"/>
  <c r="AH327" i="2"/>
  <c r="AI327" i="2"/>
  <c r="AJ327" i="2"/>
  <c r="B328" i="2"/>
  <c r="B330" i="2"/>
  <c r="C328" i="2"/>
  <c r="D328" i="2"/>
  <c r="D330" i="2"/>
  <c r="E328" i="2"/>
  <c r="F328" i="2"/>
  <c r="G328" i="2"/>
  <c r="H328" i="2"/>
  <c r="I328" i="2"/>
  <c r="J328" i="2"/>
  <c r="J330" i="2"/>
  <c r="J376" i="2"/>
  <c r="K328" i="2"/>
  <c r="L328" i="2"/>
  <c r="M328" i="2"/>
  <c r="N328" i="2"/>
  <c r="N330" i="2"/>
  <c r="N376" i="2"/>
  <c r="O328" i="2"/>
  <c r="P328" i="2"/>
  <c r="P330" i="2"/>
  <c r="P376" i="2"/>
  <c r="Q328" i="2"/>
  <c r="R328" i="2"/>
  <c r="R330" i="2"/>
  <c r="R376" i="2"/>
  <c r="S328" i="2"/>
  <c r="T328" i="2"/>
  <c r="U328" i="2"/>
  <c r="V328" i="2"/>
  <c r="V330" i="2"/>
  <c r="V376" i="2"/>
  <c r="W328" i="2"/>
  <c r="X328" i="2"/>
  <c r="Y328" i="2"/>
  <c r="Z328" i="2"/>
  <c r="AA328" i="2"/>
  <c r="AB328" i="2"/>
  <c r="AC328" i="2"/>
  <c r="AD328" i="2"/>
  <c r="AE328" i="2"/>
  <c r="AF328" i="2"/>
  <c r="AF330" i="2"/>
  <c r="AF376" i="2"/>
  <c r="AG328" i="2"/>
  <c r="AH328" i="2"/>
  <c r="AH330" i="2"/>
  <c r="AI328" i="2"/>
  <c r="AI330" i="2"/>
  <c r="AJ328" i="2"/>
  <c r="B329" i="2"/>
  <c r="C329" i="2"/>
  <c r="D329" i="2"/>
  <c r="E329" i="2"/>
  <c r="F329" i="2"/>
  <c r="G329" i="2"/>
  <c r="H329" i="2"/>
  <c r="I329" i="2"/>
  <c r="J329" i="2"/>
  <c r="K329" i="2"/>
  <c r="L329" i="2"/>
  <c r="L330" i="2"/>
  <c r="L376" i="2"/>
  <c r="M329" i="2"/>
  <c r="N329" i="2"/>
  <c r="O329" i="2"/>
  <c r="P329" i="2"/>
  <c r="Q329" i="2"/>
  <c r="Q330" i="2"/>
  <c r="Q376" i="2"/>
  <c r="R329" i="2"/>
  <c r="S329" i="2"/>
  <c r="T329" i="2"/>
  <c r="U329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B332" i="2"/>
  <c r="B335" i="2"/>
  <c r="C332" i="2"/>
  <c r="D332" i="2"/>
  <c r="E332" i="2"/>
  <c r="E335" i="2"/>
  <c r="F332" i="2"/>
  <c r="F335" i="2"/>
  <c r="G332" i="2"/>
  <c r="G335" i="2"/>
  <c r="H332" i="2"/>
  <c r="H335" i="2"/>
  <c r="I332" i="2"/>
  <c r="J332" i="2"/>
  <c r="K332" i="2"/>
  <c r="K335" i="2"/>
  <c r="L332" i="2"/>
  <c r="M332" i="2"/>
  <c r="M335" i="2"/>
  <c r="N332" i="2"/>
  <c r="O332" i="2"/>
  <c r="O335" i="2"/>
  <c r="P332" i="2"/>
  <c r="Q332" i="2"/>
  <c r="R332" i="2"/>
  <c r="S332" i="2"/>
  <c r="S335" i="2"/>
  <c r="T332" i="2"/>
  <c r="T335" i="2"/>
  <c r="U332" i="2"/>
  <c r="V332" i="2"/>
  <c r="V335" i="2"/>
  <c r="W332" i="2"/>
  <c r="W335" i="2"/>
  <c r="X332" i="2"/>
  <c r="Y332" i="2"/>
  <c r="Z332" i="2"/>
  <c r="Z335" i="2"/>
  <c r="AA332" i="2"/>
  <c r="AA335" i="2"/>
  <c r="AB332" i="2"/>
  <c r="AB335" i="2"/>
  <c r="AC332" i="2"/>
  <c r="AD332" i="2"/>
  <c r="AD335" i="2"/>
  <c r="AE332" i="2"/>
  <c r="AE335" i="2"/>
  <c r="AF332" i="2"/>
  <c r="AF335" i="2"/>
  <c r="AG332" i="2"/>
  <c r="AG335" i="2"/>
  <c r="AH332" i="2"/>
  <c r="AI332" i="2"/>
  <c r="AJ332" i="2"/>
  <c r="B333" i="2"/>
  <c r="C333" i="2"/>
  <c r="D333" i="2"/>
  <c r="E333" i="2"/>
  <c r="F333" i="2"/>
  <c r="G333" i="2"/>
  <c r="H333" i="2"/>
  <c r="I333" i="2"/>
  <c r="I335" i="2"/>
  <c r="J333" i="2"/>
  <c r="J335" i="2"/>
  <c r="K333" i="2"/>
  <c r="L333" i="2"/>
  <c r="L335" i="2"/>
  <c r="M333" i="2"/>
  <c r="N333" i="2"/>
  <c r="O333" i="2"/>
  <c r="P333" i="2"/>
  <c r="Q333" i="2"/>
  <c r="R333" i="2"/>
  <c r="S333" i="2"/>
  <c r="T333" i="2"/>
  <c r="U333" i="2"/>
  <c r="U335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H335" i="2"/>
  <c r="AI333" i="2"/>
  <c r="AI335" i="2"/>
  <c r="AJ333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B337" i="2"/>
  <c r="C337" i="2"/>
  <c r="C340" i="2"/>
  <c r="D337" i="2"/>
  <c r="E337" i="2"/>
  <c r="F337" i="2"/>
  <c r="G337" i="2"/>
  <c r="G340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S340" i="2"/>
  <c r="T337" i="2"/>
  <c r="U337" i="2"/>
  <c r="V337" i="2"/>
  <c r="W337" i="2"/>
  <c r="W340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I340" i="2"/>
  <c r="AJ337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X340" i="2"/>
  <c r="Y338" i="2"/>
  <c r="Z338" i="2"/>
  <c r="AA338" i="2"/>
  <c r="AB338" i="2"/>
  <c r="AB340" i="2"/>
  <c r="AC338" i="2"/>
  <c r="AC340" i="2"/>
  <c r="AD338" i="2"/>
  <c r="AE338" i="2"/>
  <c r="AE340" i="2"/>
  <c r="AF338" i="2"/>
  <c r="AG338" i="2"/>
  <c r="AH338" i="2"/>
  <c r="AI338" i="2"/>
  <c r="AJ338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R340" i="2"/>
  <c r="S339" i="2"/>
  <c r="T339" i="2"/>
  <c r="U339" i="2"/>
  <c r="V339" i="2"/>
  <c r="W339" i="2"/>
  <c r="X339" i="2"/>
  <c r="Y339" i="2"/>
  <c r="Z339" i="2"/>
  <c r="Z340" i="2"/>
  <c r="AA339" i="2"/>
  <c r="AB339" i="2"/>
  <c r="AC339" i="2"/>
  <c r="AD339" i="2"/>
  <c r="AE339" i="2"/>
  <c r="AF339" i="2"/>
  <c r="AF340" i="2"/>
  <c r="AG339" i="2"/>
  <c r="AH339" i="2"/>
  <c r="AI339" i="2"/>
  <c r="AJ339" i="2"/>
  <c r="B342" i="2"/>
  <c r="B345" i="2"/>
  <c r="C342" i="2"/>
  <c r="D342" i="2"/>
  <c r="E342" i="2"/>
  <c r="F342" i="2"/>
  <c r="G342" i="2"/>
  <c r="H342" i="2"/>
  <c r="I342" i="2"/>
  <c r="J342" i="2"/>
  <c r="J345" i="2"/>
  <c r="K342" i="2"/>
  <c r="K345" i="2"/>
  <c r="L342" i="2"/>
  <c r="M342" i="2"/>
  <c r="N342" i="2"/>
  <c r="N345" i="2"/>
  <c r="O342" i="2"/>
  <c r="P342" i="2"/>
  <c r="Q342" i="2"/>
  <c r="R342" i="2"/>
  <c r="R345" i="2"/>
  <c r="S342" i="2"/>
  <c r="T342" i="2"/>
  <c r="U342" i="2"/>
  <c r="V342" i="2"/>
  <c r="V345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Z345" i="2"/>
  <c r="AA343" i="2"/>
  <c r="AB343" i="2"/>
  <c r="AC343" i="2"/>
  <c r="AD343" i="2"/>
  <c r="AE343" i="2"/>
  <c r="AF343" i="2"/>
  <c r="AG343" i="2"/>
  <c r="AH343" i="2"/>
  <c r="AH345" i="2"/>
  <c r="AI343" i="2"/>
  <c r="AJ343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S344" i="2"/>
  <c r="T344" i="2"/>
  <c r="U344" i="2"/>
  <c r="U345" i="2"/>
  <c r="V344" i="2"/>
  <c r="W344" i="2"/>
  <c r="X344" i="2"/>
  <c r="Y344" i="2"/>
  <c r="Z344" i="2"/>
  <c r="AA344" i="2"/>
  <c r="AB344" i="2"/>
  <c r="AB345" i="2"/>
  <c r="AC344" i="2"/>
  <c r="AD344" i="2"/>
  <c r="AE344" i="2"/>
  <c r="AF344" i="2"/>
  <c r="AG344" i="2"/>
  <c r="AG345" i="2"/>
  <c r="AH344" i="2"/>
  <c r="AI344" i="2"/>
  <c r="AJ344" i="2"/>
  <c r="B347" i="2"/>
  <c r="C347" i="2"/>
  <c r="D347" i="2"/>
  <c r="D350" i="2"/>
  <c r="E347" i="2"/>
  <c r="F347" i="2"/>
  <c r="F350" i="2"/>
  <c r="G347" i="2"/>
  <c r="H347" i="2"/>
  <c r="I347" i="2"/>
  <c r="J347" i="2"/>
  <c r="K347" i="2"/>
  <c r="L347" i="2"/>
  <c r="M347" i="2"/>
  <c r="N347" i="2"/>
  <c r="O347" i="2"/>
  <c r="O350" i="2"/>
  <c r="P347" i="2"/>
  <c r="Q347" i="2"/>
  <c r="R347" i="2"/>
  <c r="S347" i="2"/>
  <c r="T347" i="2"/>
  <c r="U347" i="2"/>
  <c r="V347" i="2"/>
  <c r="W347" i="2"/>
  <c r="X347" i="2"/>
  <c r="Y347" i="2"/>
  <c r="Y350" i="2"/>
  <c r="Z347" i="2"/>
  <c r="AA347" i="2"/>
  <c r="AA350" i="2"/>
  <c r="AB347" i="2"/>
  <c r="AC347" i="2"/>
  <c r="AD347" i="2"/>
  <c r="AD350" i="2"/>
  <c r="AE347" i="2"/>
  <c r="AE350" i="2"/>
  <c r="AF347" i="2"/>
  <c r="AG347" i="2"/>
  <c r="AH347" i="2"/>
  <c r="AI347" i="2"/>
  <c r="AI350" i="2"/>
  <c r="AJ347" i="2"/>
  <c r="AK347" i="2"/>
  <c r="B348" i="2"/>
  <c r="C348" i="2"/>
  <c r="C350" i="2"/>
  <c r="D348" i="2"/>
  <c r="E348" i="2"/>
  <c r="F348" i="2"/>
  <c r="G348" i="2"/>
  <c r="H348" i="2"/>
  <c r="I348" i="2"/>
  <c r="J348" i="2"/>
  <c r="J350" i="2"/>
  <c r="K348" i="2"/>
  <c r="L348" i="2"/>
  <c r="M348" i="2"/>
  <c r="N348" i="2"/>
  <c r="O348" i="2"/>
  <c r="P348" i="2"/>
  <c r="Q348" i="2"/>
  <c r="Q350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C350" i="2"/>
  <c r="AD348" i="2"/>
  <c r="AE348" i="2"/>
  <c r="AF348" i="2"/>
  <c r="AG348" i="2"/>
  <c r="AH348" i="2"/>
  <c r="AH350" i="2"/>
  <c r="AI348" i="2"/>
  <c r="AJ348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P350" i="2"/>
  <c r="Q349" i="2"/>
  <c r="R349" i="2"/>
  <c r="S349" i="2"/>
  <c r="T349" i="2"/>
  <c r="U349" i="2"/>
  <c r="V349" i="2"/>
  <c r="W349" i="2"/>
  <c r="X349" i="2"/>
  <c r="X350" i="2"/>
  <c r="Y349" i="2"/>
  <c r="Z349" i="2"/>
  <c r="AA349" i="2"/>
  <c r="AB349" i="2"/>
  <c r="AB350" i="2"/>
  <c r="AC349" i="2"/>
  <c r="AD349" i="2"/>
  <c r="AE349" i="2"/>
  <c r="AF349" i="2"/>
  <c r="AG349" i="2"/>
  <c r="AH349" i="2"/>
  <c r="AI349" i="2"/>
  <c r="AJ349" i="2"/>
  <c r="B352" i="2"/>
  <c r="C352" i="2"/>
  <c r="D352" i="2"/>
  <c r="E352" i="2"/>
  <c r="E355" i="2"/>
  <c r="F352" i="2"/>
  <c r="G352" i="2"/>
  <c r="H352" i="2"/>
  <c r="H355" i="2"/>
  <c r="I352" i="2"/>
  <c r="J352" i="2"/>
  <c r="K352" i="2"/>
  <c r="L352" i="2"/>
  <c r="L355" i="2"/>
  <c r="M352" i="2"/>
  <c r="N352" i="2"/>
  <c r="O352" i="2"/>
  <c r="O355" i="2"/>
  <c r="P352" i="2"/>
  <c r="Q352" i="2"/>
  <c r="R352" i="2"/>
  <c r="S352" i="2"/>
  <c r="T352" i="2"/>
  <c r="U352" i="2"/>
  <c r="V352" i="2"/>
  <c r="V355" i="2"/>
  <c r="W352" i="2"/>
  <c r="X352" i="2"/>
  <c r="Y352" i="2"/>
  <c r="Z352" i="2"/>
  <c r="AA352" i="2"/>
  <c r="AB352" i="2"/>
  <c r="AC352" i="2"/>
  <c r="AD352" i="2"/>
  <c r="AE352" i="2"/>
  <c r="AE355" i="2"/>
  <c r="AF352" i="2"/>
  <c r="AG352" i="2"/>
  <c r="AH352" i="2"/>
  <c r="AI352" i="2"/>
  <c r="AJ352" i="2"/>
  <c r="AK352" i="2"/>
  <c r="B353" i="2"/>
  <c r="C353" i="2"/>
  <c r="D353" i="2"/>
  <c r="E353" i="2"/>
  <c r="F353" i="2"/>
  <c r="G353" i="2"/>
  <c r="H353" i="2"/>
  <c r="I353" i="2"/>
  <c r="I355" i="2"/>
  <c r="J353" i="2"/>
  <c r="K353" i="2"/>
  <c r="L353" i="2"/>
  <c r="M353" i="2"/>
  <c r="M355" i="2"/>
  <c r="N353" i="2"/>
  <c r="N355" i="2"/>
  <c r="O353" i="2"/>
  <c r="P353" i="2"/>
  <c r="Q353" i="2"/>
  <c r="R353" i="2"/>
  <c r="S353" i="2"/>
  <c r="T353" i="2"/>
  <c r="U353" i="2"/>
  <c r="V353" i="2"/>
  <c r="W353" i="2"/>
  <c r="W355" i="2"/>
  <c r="X353" i="2"/>
  <c r="X355" i="2"/>
  <c r="Y353" i="2"/>
  <c r="Z353" i="2"/>
  <c r="Z355" i="2"/>
  <c r="AA353" i="2"/>
  <c r="AB353" i="2"/>
  <c r="AC353" i="2"/>
  <c r="AD353" i="2"/>
  <c r="AD355" i="2"/>
  <c r="AE353" i="2"/>
  <c r="AF353" i="2"/>
  <c r="AF355" i="2"/>
  <c r="AG353" i="2"/>
  <c r="AH353" i="2"/>
  <c r="AI353" i="2"/>
  <c r="AJ353" i="2"/>
  <c r="AJ355" i="2"/>
  <c r="B354" i="2"/>
  <c r="C354" i="2"/>
  <c r="D354" i="2"/>
  <c r="E354" i="2"/>
  <c r="F354" i="2"/>
  <c r="F355" i="2"/>
  <c r="G354" i="2"/>
  <c r="H354" i="2"/>
  <c r="I354" i="2"/>
  <c r="J354" i="2"/>
  <c r="K354" i="2"/>
  <c r="K355" i="2"/>
  <c r="L354" i="2"/>
  <c r="M354" i="2"/>
  <c r="N354" i="2"/>
  <c r="O354" i="2"/>
  <c r="P354" i="2"/>
  <c r="P355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C355" i="2"/>
  <c r="AD354" i="2"/>
  <c r="AE354" i="2"/>
  <c r="AF354" i="2"/>
  <c r="AG354" i="2"/>
  <c r="AH354" i="2"/>
  <c r="AI354" i="2"/>
  <c r="AJ354" i="2"/>
  <c r="B357" i="2"/>
  <c r="C357" i="2"/>
  <c r="D357" i="2"/>
  <c r="E357" i="2"/>
  <c r="E360" i="2"/>
  <c r="F357" i="2"/>
  <c r="G357" i="2"/>
  <c r="H357" i="2"/>
  <c r="I357" i="2"/>
  <c r="J357" i="2"/>
  <c r="J360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B358" i="2"/>
  <c r="C358" i="2"/>
  <c r="D358" i="2"/>
  <c r="E358" i="2"/>
  <c r="F358" i="2"/>
  <c r="G358" i="2"/>
  <c r="H358" i="2"/>
  <c r="H360" i="2"/>
  <c r="I358" i="2"/>
  <c r="J358" i="2"/>
  <c r="K358" i="2"/>
  <c r="K360" i="2"/>
  <c r="L358" i="2"/>
  <c r="M358" i="2"/>
  <c r="N358" i="2"/>
  <c r="O358" i="2"/>
  <c r="O360" i="2"/>
  <c r="P358" i="2"/>
  <c r="Q358" i="2"/>
  <c r="R358" i="2"/>
  <c r="S358" i="2"/>
  <c r="T358" i="2"/>
  <c r="U358" i="2"/>
  <c r="V358" i="2"/>
  <c r="W358" i="2"/>
  <c r="X358" i="2"/>
  <c r="Y358" i="2"/>
  <c r="Z358" i="2"/>
  <c r="AA358" i="2"/>
  <c r="AA360" i="2"/>
  <c r="AB358" i="2"/>
  <c r="AC358" i="2"/>
  <c r="AD358" i="2"/>
  <c r="AE358" i="2"/>
  <c r="AF358" i="2"/>
  <c r="AG358" i="2"/>
  <c r="AH358" i="2"/>
  <c r="AI358" i="2"/>
  <c r="AJ358" i="2"/>
  <c r="AK358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N360" i="2"/>
  <c r="O359" i="2"/>
  <c r="P359" i="2"/>
  <c r="P360" i="2"/>
  <c r="Q359" i="2"/>
  <c r="R359" i="2"/>
  <c r="S359" i="2"/>
  <c r="T359" i="2"/>
  <c r="U359" i="2"/>
  <c r="U360" i="2"/>
  <c r="V359" i="2"/>
  <c r="W359" i="2"/>
  <c r="X359" i="2"/>
  <c r="Y359" i="2"/>
  <c r="Y360" i="2"/>
  <c r="Z359" i="2"/>
  <c r="AA359" i="2"/>
  <c r="AB359" i="2"/>
  <c r="AB360" i="2"/>
  <c r="AC359" i="2"/>
  <c r="AD359" i="2"/>
  <c r="AE359" i="2"/>
  <c r="AF359" i="2"/>
  <c r="AG359" i="2"/>
  <c r="AG360" i="2"/>
  <c r="AH359" i="2"/>
  <c r="AI359" i="2"/>
  <c r="AI360" i="2"/>
  <c r="AJ359" i="2"/>
  <c r="B362" i="2"/>
  <c r="C362" i="2"/>
  <c r="D362" i="2"/>
  <c r="E362" i="2"/>
  <c r="F362" i="2"/>
  <c r="F365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R365" i="2"/>
  <c r="S362" i="2"/>
  <c r="T362" i="2"/>
  <c r="U362" i="2"/>
  <c r="U365" i="2"/>
  <c r="V362" i="2"/>
  <c r="W362" i="2"/>
  <c r="X362" i="2"/>
  <c r="X365" i="2"/>
  <c r="Y362" i="2"/>
  <c r="Y365" i="2"/>
  <c r="Z362" i="2"/>
  <c r="AA362" i="2"/>
  <c r="AB362" i="2"/>
  <c r="AB365" i="2"/>
  <c r="AC362" i="2"/>
  <c r="AD362" i="2"/>
  <c r="AE362" i="2"/>
  <c r="AF362" i="2"/>
  <c r="AG362" i="2"/>
  <c r="AH362" i="2"/>
  <c r="AH365" i="2"/>
  <c r="AI362" i="2"/>
  <c r="AI365" i="2"/>
  <c r="AJ362" i="2"/>
  <c r="B363" i="2"/>
  <c r="C363" i="2"/>
  <c r="D363" i="2"/>
  <c r="D365" i="2"/>
  <c r="E363" i="2"/>
  <c r="F363" i="2"/>
  <c r="G363" i="2"/>
  <c r="H363" i="2"/>
  <c r="I363" i="2"/>
  <c r="J363" i="2"/>
  <c r="J365" i="2"/>
  <c r="K363" i="2"/>
  <c r="K365" i="2"/>
  <c r="L363" i="2"/>
  <c r="M363" i="2"/>
  <c r="M365" i="2"/>
  <c r="N363" i="2"/>
  <c r="O363" i="2"/>
  <c r="P363" i="2"/>
  <c r="Q363" i="2"/>
  <c r="R363" i="2"/>
  <c r="S363" i="2"/>
  <c r="T363" i="2"/>
  <c r="T365" i="2"/>
  <c r="U363" i="2"/>
  <c r="V363" i="2"/>
  <c r="W363" i="2"/>
  <c r="W365" i="2"/>
  <c r="X363" i="2"/>
  <c r="Y363" i="2"/>
  <c r="Z363" i="2"/>
  <c r="AA363" i="2"/>
  <c r="AB363" i="2"/>
  <c r="AC363" i="2"/>
  <c r="AD363" i="2"/>
  <c r="AE363" i="2"/>
  <c r="AF363" i="2"/>
  <c r="AF365" i="2"/>
  <c r="AG363" i="2"/>
  <c r="AH363" i="2"/>
  <c r="AI363" i="2"/>
  <c r="AJ363" i="2"/>
  <c r="AK363" i="2"/>
  <c r="B364" i="2"/>
  <c r="C364" i="2"/>
  <c r="D364" i="2"/>
  <c r="E364" i="2"/>
  <c r="F364" i="2"/>
  <c r="G364" i="2"/>
  <c r="G365" i="2"/>
  <c r="H364" i="2"/>
  <c r="I364" i="2"/>
  <c r="J364" i="2"/>
  <c r="K364" i="2"/>
  <c r="L364" i="2"/>
  <c r="L365" i="2"/>
  <c r="M364" i="2"/>
  <c r="N364" i="2"/>
  <c r="N365" i="2"/>
  <c r="O364" i="2"/>
  <c r="P364" i="2"/>
  <c r="Q364" i="2"/>
  <c r="R364" i="2"/>
  <c r="S364" i="2"/>
  <c r="T364" i="2"/>
  <c r="U364" i="2"/>
  <c r="V364" i="2"/>
  <c r="V365" i="2"/>
  <c r="W364" i="2"/>
  <c r="X364" i="2"/>
  <c r="Y364" i="2"/>
  <c r="Z364" i="2"/>
  <c r="AA364" i="2"/>
  <c r="AB364" i="2"/>
  <c r="AC364" i="2"/>
  <c r="AC365" i="2"/>
  <c r="AD364" i="2"/>
  <c r="AE364" i="2"/>
  <c r="AF364" i="2"/>
  <c r="AG364" i="2"/>
  <c r="AH364" i="2"/>
  <c r="AI364" i="2"/>
  <c r="AJ364" i="2"/>
  <c r="B367" i="2"/>
  <c r="B370" i="2"/>
  <c r="C367" i="2"/>
  <c r="C370" i="2"/>
  <c r="D367" i="2"/>
  <c r="E367" i="2"/>
  <c r="F367" i="2"/>
  <c r="F370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Y370" i="2"/>
  <c r="Z367" i="2"/>
  <c r="AA367" i="2"/>
  <c r="AB367" i="2"/>
  <c r="AC367" i="2"/>
  <c r="AD367" i="2"/>
  <c r="AE367" i="2"/>
  <c r="AF367" i="2"/>
  <c r="AG367" i="2"/>
  <c r="AH367" i="2"/>
  <c r="AI367" i="2"/>
  <c r="AJ367" i="2"/>
  <c r="B368" i="2"/>
  <c r="C368" i="2"/>
  <c r="D368" i="2"/>
  <c r="E368" i="2"/>
  <c r="F368" i="2"/>
  <c r="G368" i="2"/>
  <c r="G370" i="2"/>
  <c r="H368" i="2"/>
  <c r="I368" i="2"/>
  <c r="I370" i="2"/>
  <c r="J368" i="2"/>
  <c r="K368" i="2"/>
  <c r="K370" i="2"/>
  <c r="L368" i="2"/>
  <c r="M368" i="2"/>
  <c r="N368" i="2"/>
  <c r="O368" i="2"/>
  <c r="P368" i="2"/>
  <c r="Q368" i="2"/>
  <c r="R368" i="2"/>
  <c r="S368" i="2"/>
  <c r="T368" i="2"/>
  <c r="U368" i="2"/>
  <c r="V368" i="2"/>
  <c r="V370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H370" i="2"/>
  <c r="AI368" i="2"/>
  <c r="AJ368" i="2"/>
  <c r="AK368" i="2"/>
  <c r="B369" i="2"/>
  <c r="C369" i="2"/>
  <c r="D369" i="2"/>
  <c r="E369" i="2"/>
  <c r="F369" i="2"/>
  <c r="G369" i="2"/>
  <c r="H369" i="2"/>
  <c r="H370" i="2"/>
  <c r="I369" i="2"/>
  <c r="J369" i="2"/>
  <c r="K369" i="2"/>
  <c r="L369" i="2"/>
  <c r="M369" i="2"/>
  <c r="M370" i="2"/>
  <c r="N369" i="2"/>
  <c r="O369" i="2"/>
  <c r="O370" i="2"/>
  <c r="P369" i="2"/>
  <c r="Q369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AE369" i="2"/>
  <c r="AE370" i="2"/>
  <c r="AF369" i="2"/>
  <c r="AG369" i="2"/>
  <c r="AH369" i="2"/>
  <c r="AI369" i="2"/>
  <c r="AJ369" i="2"/>
  <c r="B372" i="2"/>
  <c r="C372" i="2"/>
  <c r="D372" i="2"/>
  <c r="D375" i="2"/>
  <c r="E372" i="2"/>
  <c r="F372" i="2"/>
  <c r="G372" i="2"/>
  <c r="H372" i="2"/>
  <c r="I372" i="2"/>
  <c r="J372" i="2"/>
  <c r="J375" i="2"/>
  <c r="K372" i="2"/>
  <c r="L372" i="2"/>
  <c r="M372" i="2"/>
  <c r="N372" i="2"/>
  <c r="N375" i="2"/>
  <c r="O372" i="2"/>
  <c r="P372" i="2"/>
  <c r="Q372" i="2"/>
  <c r="Q375" i="2"/>
  <c r="R372" i="2"/>
  <c r="S372" i="2"/>
  <c r="T372" i="2"/>
  <c r="U372" i="2"/>
  <c r="U375" i="2"/>
  <c r="V372" i="2"/>
  <c r="W372" i="2"/>
  <c r="X372" i="2"/>
  <c r="Y372" i="2"/>
  <c r="Y375" i="2"/>
  <c r="Z372" i="2"/>
  <c r="Z375" i="2"/>
  <c r="AA372" i="2"/>
  <c r="AB372" i="2"/>
  <c r="AC372" i="2"/>
  <c r="AD372" i="2"/>
  <c r="AD375" i="2"/>
  <c r="AE372" i="2"/>
  <c r="AF372" i="2"/>
  <c r="AG372" i="2"/>
  <c r="AH372" i="2"/>
  <c r="AI372" i="2"/>
  <c r="AJ372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T375" i="2"/>
  <c r="U373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B374" i="2"/>
  <c r="C374" i="2"/>
  <c r="D374" i="2"/>
  <c r="E374" i="2"/>
  <c r="E375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U374" i="2"/>
  <c r="V374" i="2"/>
  <c r="W374" i="2"/>
  <c r="X374" i="2"/>
  <c r="Y374" i="2"/>
  <c r="Z374" i="2"/>
  <c r="AA374" i="2"/>
  <c r="AB374" i="2"/>
  <c r="AC374" i="2"/>
  <c r="AD374" i="2"/>
  <c r="AE374" i="2"/>
  <c r="AF374" i="2"/>
  <c r="AG374" i="2"/>
  <c r="AH374" i="2"/>
  <c r="AI374" i="2"/>
  <c r="AJ374" i="2"/>
  <c r="F73" i="2"/>
  <c r="D90" i="2"/>
  <c r="E183" i="2"/>
  <c r="E184" i="2"/>
  <c r="B183" i="2"/>
  <c r="B184" i="2"/>
  <c r="I153" i="5"/>
  <c r="C153" i="5"/>
  <c r="S20" i="1"/>
  <c r="W20" i="1"/>
  <c r="T20" i="1"/>
  <c r="R24" i="1"/>
  <c r="E316" i="1"/>
  <c r="C316" i="1"/>
  <c r="D183" i="2"/>
  <c r="D184" i="2"/>
  <c r="G176" i="2"/>
  <c r="G171" i="2"/>
  <c r="T370" i="2"/>
  <c r="F360" i="2"/>
  <c r="AC360" i="2"/>
  <c r="AK353" i="2"/>
  <c r="AC345" i="2"/>
  <c r="Y345" i="2"/>
  <c r="I345" i="2"/>
  <c r="E345" i="2"/>
  <c r="AK343" i="2"/>
  <c r="F164" i="2"/>
  <c r="F165" i="2"/>
  <c r="B164" i="2"/>
  <c r="B165" i="2"/>
  <c r="E145" i="2"/>
  <c r="E146" i="2"/>
  <c r="C145" i="2"/>
  <c r="C146" i="2"/>
  <c r="F126" i="2"/>
  <c r="F127" i="2"/>
  <c r="B126" i="2"/>
  <c r="B127" i="2"/>
  <c r="C126" i="2"/>
  <c r="C127" i="2"/>
  <c r="F76" i="2"/>
  <c r="F75" i="2"/>
  <c r="D314" i="1"/>
  <c r="G314" i="1"/>
  <c r="F74" i="2"/>
  <c r="F71" i="2"/>
  <c r="F69" i="2"/>
  <c r="F67" i="2"/>
  <c r="F70" i="2"/>
  <c r="F68" i="2"/>
  <c r="D84" i="2"/>
  <c r="C100" i="2"/>
  <c r="C97" i="2"/>
  <c r="B89" i="2"/>
  <c r="B84" i="2"/>
  <c r="C106" i="2"/>
  <c r="E85" i="2"/>
  <c r="C103" i="2"/>
  <c r="D106" i="2"/>
  <c r="D91" i="2"/>
  <c r="C105" i="2"/>
  <c r="C101" i="2"/>
  <c r="D89" i="2"/>
  <c r="D83" i="2"/>
  <c r="D47" i="2"/>
  <c r="C104" i="2"/>
  <c r="F36" i="2"/>
  <c r="J314" i="1"/>
  <c r="E91" i="2"/>
  <c r="D88" i="2"/>
  <c r="E86" i="2"/>
  <c r="E90" i="2"/>
  <c r="E87" i="2"/>
  <c r="E84" i="2"/>
  <c r="E83" i="2"/>
  <c r="D82" i="2"/>
  <c r="J316" i="1"/>
  <c r="J329" i="1"/>
  <c r="B88" i="2"/>
  <c r="B87" i="2"/>
  <c r="F13" i="2"/>
  <c r="AI320" i="2"/>
  <c r="C320" i="2"/>
  <c r="D193" i="1"/>
  <c r="G375" i="2"/>
  <c r="L350" i="2"/>
  <c r="H350" i="2"/>
  <c r="AJ345" i="2"/>
  <c r="AK362" i="2"/>
  <c r="AK337" i="2"/>
  <c r="AK277" i="2"/>
  <c r="AK318" i="2"/>
  <c r="I160" i="5"/>
  <c r="I161" i="5"/>
  <c r="N55" i="3"/>
  <c r="AE375" i="2"/>
  <c r="AC370" i="2"/>
  <c r="U370" i="2"/>
  <c r="P345" i="2"/>
  <c r="K375" i="2"/>
  <c r="W375" i="2"/>
  <c r="AG370" i="2"/>
  <c r="E370" i="2"/>
  <c r="AH355" i="2"/>
  <c r="B350" i="2"/>
  <c r="L345" i="2"/>
  <c r="AG340" i="2"/>
  <c r="E340" i="2"/>
  <c r="F330" i="2"/>
  <c r="AK218" i="2"/>
  <c r="T340" i="2"/>
  <c r="P340" i="2"/>
  <c r="L340" i="2"/>
  <c r="H340" i="2"/>
  <c r="D340" i="2"/>
  <c r="X335" i="2"/>
  <c r="P335" i="2"/>
  <c r="D335" i="2"/>
  <c r="N325" i="2"/>
  <c r="F325" i="2"/>
  <c r="G194" i="1"/>
  <c r="E61" i="5"/>
  <c r="C70" i="5"/>
  <c r="C71" i="5"/>
  <c r="J159" i="5"/>
  <c r="J161" i="5"/>
  <c r="G138" i="2"/>
  <c r="E80" i="5"/>
  <c r="C93" i="5"/>
  <c r="C94" i="5"/>
  <c r="D46" i="5"/>
  <c r="D145" i="2"/>
  <c r="D146" i="2"/>
  <c r="F5" i="2"/>
  <c r="AB74" i="1"/>
  <c r="AC74" i="1"/>
  <c r="C16" i="2"/>
  <c r="E164" i="2"/>
  <c r="E165" i="2"/>
  <c r="B85" i="2"/>
  <c r="E107" i="5"/>
  <c r="C184" i="5"/>
  <c r="I93" i="5"/>
  <c r="I94" i="5"/>
  <c r="J80" i="5"/>
  <c r="J93" i="5"/>
  <c r="I70" i="5"/>
  <c r="I71" i="5"/>
  <c r="J71" i="5"/>
  <c r="J61" i="5"/>
  <c r="E31" i="5"/>
  <c r="D34" i="5"/>
  <c r="O53" i="3"/>
  <c r="D47" i="3"/>
  <c r="O47" i="3"/>
  <c r="O45" i="3"/>
  <c r="D35" i="3"/>
  <c r="E147" i="5"/>
  <c r="H93" i="5"/>
  <c r="H94" i="5"/>
  <c r="E41" i="5"/>
  <c r="E15" i="5"/>
  <c r="C24" i="5"/>
  <c r="C25" i="5"/>
  <c r="E25" i="5"/>
  <c r="I11" i="5"/>
  <c r="J8" i="5"/>
  <c r="D43" i="3"/>
  <c r="O43" i="3"/>
  <c r="O41" i="3"/>
  <c r="O29" i="3"/>
  <c r="I38" i="5"/>
  <c r="J38" i="5"/>
  <c r="E34" i="5"/>
  <c r="E47" i="5"/>
  <c r="J11" i="5"/>
  <c r="L173" i="1"/>
  <c r="AK317" i="2"/>
  <c r="F233" i="1"/>
  <c r="AF375" i="2"/>
  <c r="O375" i="2"/>
  <c r="Q370" i="2"/>
  <c r="S370" i="2"/>
  <c r="Z365" i="2"/>
  <c r="AE360" i="2"/>
  <c r="L360" i="2"/>
  <c r="D360" i="2"/>
  <c r="C360" i="2"/>
  <c r="S355" i="2"/>
  <c r="AI355" i="2"/>
  <c r="T355" i="2"/>
  <c r="R355" i="2"/>
  <c r="W350" i="2"/>
  <c r="U350" i="2"/>
  <c r="M350" i="2"/>
  <c r="I350" i="2"/>
  <c r="E350" i="2"/>
  <c r="AF345" i="2"/>
  <c r="Q345" i="2"/>
  <c r="AI345" i="2"/>
  <c r="O345" i="2"/>
  <c r="M345" i="2"/>
  <c r="F345" i="2"/>
  <c r="D345" i="2"/>
  <c r="N340" i="2"/>
  <c r="I340" i="2"/>
  <c r="S330" i="2"/>
  <c r="S376" i="2"/>
  <c r="C330" i="2"/>
  <c r="AJ325" i="2"/>
  <c r="AF325" i="2"/>
  <c r="T325" i="2"/>
  <c r="P325" i="2"/>
  <c r="D325" i="2"/>
  <c r="E194" i="1"/>
  <c r="E214" i="1"/>
  <c r="I375" i="2"/>
  <c r="AJ370" i="2"/>
  <c r="AD370" i="2"/>
  <c r="AB370" i="2"/>
  <c r="N370" i="2"/>
  <c r="J370" i="2"/>
  <c r="AE365" i="2"/>
  <c r="AH360" i="2"/>
  <c r="W360" i="2"/>
  <c r="AA355" i="2"/>
  <c r="H345" i="2"/>
  <c r="V340" i="2"/>
  <c r="Q340" i="2"/>
  <c r="AJ335" i="2"/>
  <c r="R335" i="2"/>
  <c r="AE330" i="2"/>
  <c r="AE376" i="2"/>
  <c r="AF320" i="2"/>
  <c r="AK374" i="2"/>
  <c r="AK248" i="2"/>
  <c r="AK243" i="2"/>
  <c r="AK367" i="2"/>
  <c r="AK370" i="2"/>
  <c r="AK228" i="2"/>
  <c r="AK344" i="2"/>
  <c r="F145" i="2"/>
  <c r="F146" i="2"/>
  <c r="D180" i="5"/>
  <c r="J13" i="5"/>
  <c r="I15" i="5"/>
  <c r="J15" i="5"/>
  <c r="O57" i="3"/>
  <c r="D170" i="5"/>
  <c r="E170" i="5"/>
  <c r="E55" i="3"/>
  <c r="I148" i="5"/>
  <c r="J148" i="5"/>
  <c r="C55" i="3"/>
  <c r="O55" i="3"/>
  <c r="I146" i="5"/>
  <c r="J146" i="5"/>
  <c r="M51" i="3"/>
  <c r="D159" i="5"/>
  <c r="E159" i="5"/>
  <c r="O34" i="3"/>
  <c r="O27" i="3"/>
  <c r="O16" i="3"/>
  <c r="O17" i="3"/>
  <c r="N17" i="3"/>
  <c r="AK364" i="2"/>
  <c r="AK365" i="2"/>
  <c r="W320" i="2"/>
  <c r="D320" i="2"/>
  <c r="E193" i="1"/>
  <c r="AK312" i="2"/>
  <c r="AK282" i="2"/>
  <c r="AK359" i="2"/>
  <c r="G181" i="2"/>
  <c r="D164" i="2"/>
  <c r="D165" i="2"/>
  <c r="G152" i="2"/>
  <c r="G143" i="2"/>
  <c r="B90" i="2"/>
  <c r="F39" i="2"/>
  <c r="C99" i="2"/>
  <c r="C84" i="2"/>
  <c r="C172" i="5"/>
  <c r="C185" i="5"/>
  <c r="C186" i="5"/>
  <c r="E57" i="5"/>
  <c r="E70" i="5"/>
  <c r="D70" i="5"/>
  <c r="D71" i="5"/>
  <c r="E71" i="5"/>
  <c r="H24" i="5"/>
  <c r="H25" i="5"/>
  <c r="S16" i="1"/>
  <c r="D184" i="5"/>
  <c r="C180" i="5"/>
  <c r="E150" i="5"/>
  <c r="D153" i="5"/>
  <c r="E153" i="5"/>
  <c r="H139" i="5"/>
  <c r="H140" i="5"/>
  <c r="J126" i="5"/>
  <c r="I139" i="5"/>
  <c r="I140" i="5"/>
  <c r="J140" i="5"/>
  <c r="E19" i="5"/>
  <c r="O58" i="3"/>
  <c r="D176" i="5"/>
  <c r="E176" i="5"/>
  <c r="O49" i="3"/>
  <c r="C51" i="3"/>
  <c r="D146" i="5"/>
  <c r="O39" i="3"/>
  <c r="O37" i="3"/>
  <c r="O25" i="3"/>
  <c r="O19" i="3"/>
  <c r="F20" i="3"/>
  <c r="O20" i="3"/>
  <c r="F99" i="2"/>
  <c r="F84" i="2"/>
  <c r="D161" i="5"/>
  <c r="E161" i="5"/>
  <c r="K173" i="1"/>
  <c r="H173" i="1"/>
  <c r="F193" i="1"/>
  <c r="F213" i="1"/>
  <c r="F273" i="1"/>
  <c r="D213" i="1"/>
  <c r="D253" i="1"/>
  <c r="H293" i="1"/>
  <c r="I293" i="1"/>
  <c r="F253" i="1"/>
  <c r="J273" i="1"/>
  <c r="W24" i="1"/>
  <c r="J115" i="5"/>
  <c r="I115" i="5"/>
  <c r="U24" i="1"/>
  <c r="Q24" i="1"/>
  <c r="P28" i="1"/>
  <c r="P29" i="1"/>
  <c r="V20" i="1"/>
  <c r="R20" i="1"/>
  <c r="G183" i="2"/>
  <c r="C90" i="2"/>
  <c r="F105" i="2"/>
  <c r="AK233" i="2"/>
  <c r="AK357" i="2"/>
  <c r="AK360" i="2"/>
  <c r="C86" i="2"/>
  <c r="F101" i="2"/>
  <c r="F86" i="2"/>
  <c r="F375" i="2"/>
  <c r="F340" i="2"/>
  <c r="F46" i="2"/>
  <c r="E81" i="2"/>
  <c r="P314" i="1"/>
  <c r="C50" i="2"/>
  <c r="D62" i="2"/>
  <c r="D95" i="2"/>
  <c r="O313" i="1"/>
  <c r="D47" i="5"/>
  <c r="D48" i="5"/>
  <c r="E48" i="5"/>
  <c r="J94" i="5"/>
  <c r="X360" i="2"/>
  <c r="C85" i="2"/>
  <c r="F100" i="2"/>
  <c r="C375" i="2"/>
  <c r="AI370" i="2"/>
  <c r="AJ365" i="2"/>
  <c r="AG365" i="2"/>
  <c r="T350" i="2"/>
  <c r="C183" i="2"/>
  <c r="C184" i="2"/>
  <c r="F57" i="2"/>
  <c r="C102" i="2"/>
  <c r="C87" i="2"/>
  <c r="AE320" i="2"/>
  <c r="D86" i="2"/>
  <c r="D85" i="2"/>
  <c r="F103" i="2"/>
  <c r="C88" i="2"/>
  <c r="M375" i="2"/>
  <c r="AC375" i="2"/>
  <c r="V375" i="2"/>
  <c r="R375" i="2"/>
  <c r="AA370" i="2"/>
  <c r="U355" i="2"/>
  <c r="O340" i="2"/>
  <c r="K340" i="2"/>
  <c r="P375" i="2"/>
  <c r="P365" i="2"/>
  <c r="V360" i="2"/>
  <c r="S360" i="2"/>
  <c r="I360" i="2"/>
  <c r="Y355" i="2"/>
  <c r="G355" i="2"/>
  <c r="S350" i="2"/>
  <c r="AE345" i="2"/>
  <c r="AA345" i="2"/>
  <c r="T345" i="2"/>
  <c r="T330" i="2"/>
  <c r="T376" i="2"/>
  <c r="AG375" i="2"/>
  <c r="S375" i="2"/>
  <c r="O365" i="2"/>
  <c r="AJ360" i="2"/>
  <c r="R360" i="2"/>
  <c r="J355" i="2"/>
  <c r="AB355" i="2"/>
  <c r="Q355" i="2"/>
  <c r="C355" i="2"/>
  <c r="AG350" i="2"/>
  <c r="V350" i="2"/>
  <c r="K350" i="2"/>
  <c r="G350" i="2"/>
  <c r="AK307" i="2"/>
  <c r="M313" i="1"/>
  <c r="B80" i="2"/>
  <c r="J32" i="5"/>
  <c r="I34" i="5"/>
  <c r="I47" i="5"/>
  <c r="C345" i="2"/>
  <c r="E325" i="2"/>
  <c r="V320" i="2"/>
  <c r="J320" i="2"/>
  <c r="F320" i="2"/>
  <c r="J57" i="5"/>
  <c r="J70" i="5"/>
  <c r="E23" i="5"/>
  <c r="E24" i="5"/>
  <c r="J21" i="5"/>
  <c r="I23" i="5"/>
  <c r="J23" i="5"/>
  <c r="J24" i="5"/>
  <c r="AD345" i="2"/>
  <c r="S345" i="2"/>
  <c r="G345" i="2"/>
  <c r="Y340" i="2"/>
  <c r="U340" i="2"/>
  <c r="AA340" i="2"/>
  <c r="AK349" i="2"/>
  <c r="AK339" i="2"/>
  <c r="O42" i="3"/>
  <c r="F35" i="2"/>
  <c r="B47" i="2"/>
  <c r="E130" i="5"/>
  <c r="E84" i="5"/>
  <c r="E93" i="5"/>
  <c r="O59" i="3"/>
  <c r="I19" i="6"/>
  <c r="O38" i="3"/>
  <c r="H313" i="1"/>
  <c r="I24" i="5"/>
  <c r="I25" i="5"/>
  <c r="J34" i="5"/>
  <c r="J47" i="5"/>
  <c r="I48" i="5"/>
  <c r="J48" i="5"/>
  <c r="F50" i="2"/>
  <c r="F90" i="2"/>
  <c r="I193" i="1"/>
  <c r="I233" i="1"/>
  <c r="I213" i="1"/>
  <c r="AK319" i="2"/>
  <c r="AK320" i="2"/>
  <c r="C233" i="1"/>
  <c r="E95" i="2"/>
  <c r="F19" i="2"/>
  <c r="F4" i="2"/>
  <c r="P313" i="1"/>
  <c r="E80" i="2"/>
  <c r="K313" i="1"/>
  <c r="AA330" i="2"/>
  <c r="AA376" i="2"/>
  <c r="K330" i="2"/>
  <c r="K376" i="2"/>
  <c r="AJ330" i="2"/>
  <c r="AJ376" i="2"/>
  <c r="O330" i="2"/>
  <c r="O376" i="2"/>
  <c r="G124" i="2"/>
  <c r="AD325" i="2"/>
  <c r="AK322" i="2"/>
  <c r="AK262" i="2"/>
  <c r="R325" i="2"/>
  <c r="J325" i="2"/>
  <c r="H325" i="2"/>
  <c r="G234" i="1"/>
  <c r="G119" i="2"/>
  <c r="H314" i="1"/>
  <c r="M314" i="1"/>
  <c r="F16" i="2"/>
  <c r="AK323" i="2"/>
  <c r="AE325" i="2"/>
  <c r="AA325" i="2"/>
  <c r="V325" i="2"/>
  <c r="S325" i="2"/>
  <c r="M325" i="2"/>
  <c r="H174" i="1"/>
  <c r="H294" i="1"/>
  <c r="I294" i="1"/>
  <c r="E329" i="1"/>
  <c r="C62" i="2"/>
  <c r="F62" i="2"/>
  <c r="O314" i="1"/>
  <c r="C96" i="2"/>
  <c r="C31" i="2"/>
  <c r="F31" i="2"/>
  <c r="AH325" i="2"/>
  <c r="I194" i="1"/>
  <c r="U325" i="2"/>
  <c r="AK324" i="2"/>
  <c r="W325" i="2"/>
  <c r="O325" i="2"/>
  <c r="I325" i="2"/>
  <c r="G325" i="2"/>
  <c r="E254" i="1"/>
  <c r="C325" i="2"/>
  <c r="D194" i="1"/>
  <c r="C234" i="1"/>
  <c r="AK198" i="2"/>
  <c r="C81" i="2"/>
  <c r="I314" i="1"/>
  <c r="E47" i="2"/>
  <c r="F194" i="1"/>
  <c r="AB73" i="1"/>
  <c r="J214" i="1"/>
  <c r="F85" i="2"/>
  <c r="F88" i="2"/>
  <c r="K314" i="1"/>
  <c r="G164" i="2"/>
  <c r="AB93" i="1"/>
  <c r="D80" i="2"/>
  <c r="F102" i="2"/>
  <c r="E213" i="1"/>
  <c r="J25" i="5"/>
  <c r="G193" i="1"/>
  <c r="M173" i="1"/>
  <c r="AK329" i="2"/>
  <c r="D172" i="5"/>
  <c r="O51" i="3"/>
  <c r="F104" i="2"/>
  <c r="C89" i="2"/>
  <c r="AC335" i="2"/>
  <c r="Y335" i="2"/>
  <c r="I149" i="5"/>
  <c r="E146" i="5"/>
  <c r="C82" i="2"/>
  <c r="I316" i="1"/>
  <c r="I329" i="1" s="1"/>
  <c r="F97" i="2"/>
  <c r="X375" i="2"/>
  <c r="AF350" i="2"/>
  <c r="C91" i="2"/>
  <c r="F106" i="2"/>
  <c r="AA375" i="2"/>
  <c r="AD320" i="2"/>
  <c r="AK213" i="2"/>
  <c r="AK338" i="2"/>
  <c r="AK340" i="2"/>
  <c r="C164" i="2"/>
  <c r="C165" i="2"/>
  <c r="G165" i="2"/>
  <c r="G214" i="1"/>
  <c r="G274" i="1"/>
  <c r="AD360" i="2"/>
  <c r="Z360" i="2"/>
  <c r="Z350" i="2"/>
  <c r="R350" i="2"/>
  <c r="N350" i="2"/>
  <c r="AH340" i="2"/>
  <c r="Q335" i="2"/>
  <c r="C335" i="2"/>
  <c r="AK375" i="2"/>
  <c r="AK345" i="2"/>
  <c r="AB375" i="2"/>
  <c r="AH375" i="2"/>
  <c r="H375" i="2"/>
  <c r="I365" i="2"/>
  <c r="C365" i="2"/>
  <c r="J340" i="2"/>
  <c r="E88" i="2"/>
  <c r="J150" i="5"/>
  <c r="H153" i="5"/>
  <c r="H162" i="5"/>
  <c r="H163" i="5"/>
  <c r="D148" i="5"/>
  <c r="E148" i="5"/>
  <c r="E51" i="3"/>
  <c r="O30" i="3"/>
  <c r="AJ375" i="2"/>
  <c r="AF370" i="2"/>
  <c r="X370" i="2"/>
  <c r="P370" i="2"/>
  <c r="L370" i="2"/>
  <c r="S365" i="2"/>
  <c r="M360" i="2"/>
  <c r="B355" i="2"/>
  <c r="AK348" i="2"/>
  <c r="AK350" i="2"/>
  <c r="AJ350" i="2"/>
  <c r="W345" i="2"/>
  <c r="H330" i="2"/>
  <c r="H376" i="2"/>
  <c r="AA320" i="2"/>
  <c r="P316" i="1"/>
  <c r="E82" i="2"/>
  <c r="AI375" i="2"/>
  <c r="Z370" i="2"/>
  <c r="B365" i="2"/>
  <c r="AD365" i="2"/>
  <c r="AA365" i="2"/>
  <c r="H365" i="2"/>
  <c r="B360" i="2"/>
  <c r="Q360" i="2"/>
  <c r="D355" i="2"/>
  <c r="AJ340" i="2"/>
  <c r="M340" i="2"/>
  <c r="W330" i="2"/>
  <c r="W376" i="2"/>
  <c r="AI325" i="2"/>
  <c r="C95" i="2"/>
  <c r="C63" i="3"/>
  <c r="O63" i="3"/>
  <c r="O61" i="3"/>
  <c r="L375" i="2"/>
  <c r="B375" i="2"/>
  <c r="W370" i="2"/>
  <c r="R370" i="2"/>
  <c r="D370" i="2"/>
  <c r="Q365" i="2"/>
  <c r="E365" i="2"/>
  <c r="AF360" i="2"/>
  <c r="T360" i="2"/>
  <c r="G360" i="2"/>
  <c r="AG355" i="2"/>
  <c r="X345" i="2"/>
  <c r="AD340" i="2"/>
  <c r="B340" i="2"/>
  <c r="N335" i="2"/>
  <c r="K325" i="2"/>
  <c r="AJ320" i="2"/>
  <c r="G162" i="2"/>
  <c r="C157" i="5"/>
  <c r="C162" i="5"/>
  <c r="C163" i="5"/>
  <c r="Z330" i="2"/>
  <c r="Z376" i="2"/>
  <c r="B325" i="2"/>
  <c r="C194" i="1"/>
  <c r="X320" i="2"/>
  <c r="I320" i="2"/>
  <c r="B320" i="2"/>
  <c r="F234" i="1"/>
  <c r="D93" i="5"/>
  <c r="D94" i="5"/>
  <c r="E94" i="5"/>
  <c r="O50" i="3"/>
  <c r="AK355" i="2"/>
  <c r="Z320" i="2"/>
  <c r="S320" i="2"/>
  <c r="AK257" i="2"/>
  <c r="AK354" i="2"/>
  <c r="L174" i="1"/>
  <c r="E176" i="1"/>
  <c r="F183" i="2"/>
  <c r="F184" i="2"/>
  <c r="G184" i="2"/>
  <c r="G185" i="2"/>
  <c r="O54" i="3"/>
  <c r="O33" i="3"/>
  <c r="C35" i="3"/>
  <c r="O35" i="3"/>
  <c r="O62" i="3"/>
  <c r="F313" i="1"/>
  <c r="F316" i="1"/>
  <c r="F329" i="1" s="1"/>
  <c r="C65" i="2"/>
  <c r="E77" i="2"/>
  <c r="K174" i="1"/>
  <c r="E169" i="5"/>
  <c r="O31" i="3"/>
  <c r="E92" i="2"/>
  <c r="AK325" i="2"/>
  <c r="F96" i="2"/>
  <c r="N314" i="1"/>
  <c r="I254" i="1"/>
  <c r="I214" i="1"/>
  <c r="K194" i="1"/>
  <c r="D254" i="1"/>
  <c r="D214" i="1"/>
  <c r="P329" i="1"/>
  <c r="L193" i="1"/>
  <c r="E172" i="5"/>
  <c r="E185" i="5"/>
  <c r="D185" i="5"/>
  <c r="D186" i="5"/>
  <c r="E186" i="5"/>
  <c r="K316" i="1"/>
  <c r="K329" i="1"/>
  <c r="L194" i="1"/>
  <c r="L254" i="1"/>
  <c r="C376" i="2"/>
  <c r="G166" i="2"/>
  <c r="J153" i="5"/>
  <c r="J149" i="5"/>
  <c r="I162" i="5"/>
  <c r="I163" i="5"/>
  <c r="J163" i="5"/>
  <c r="F89" i="2"/>
  <c r="F87" i="2"/>
  <c r="F214" i="1"/>
  <c r="C193" i="1"/>
  <c r="AC93" i="1"/>
  <c r="C77" i="2"/>
  <c r="F77" i="2"/>
  <c r="F65" i="2"/>
  <c r="AB53" i="1"/>
  <c r="D313" i="1"/>
  <c r="H193" i="1"/>
  <c r="K193" i="1"/>
  <c r="K234" i="1"/>
  <c r="M174" i="1"/>
  <c r="C214" i="1"/>
  <c r="C274" i="1"/>
  <c r="N313" i="1"/>
  <c r="N316" i="1"/>
  <c r="N329" i="1" s="1"/>
  <c r="F95" i="2"/>
  <c r="C80" i="2"/>
  <c r="F91" i="2"/>
  <c r="D149" i="5"/>
  <c r="H194" i="1"/>
  <c r="M233" i="1"/>
  <c r="G213" i="1"/>
  <c r="G253" i="1"/>
  <c r="J313" i="1"/>
  <c r="D92" i="2"/>
  <c r="F81" i="2"/>
  <c r="AB14" i="1"/>
  <c r="AC14" i="1"/>
  <c r="Q314" i="1"/>
  <c r="L214" i="1"/>
  <c r="L274" i="1"/>
  <c r="M194" i="1"/>
  <c r="M254" i="1"/>
  <c r="K214" i="1"/>
  <c r="K274" i="1"/>
  <c r="D274" i="1"/>
  <c r="G273" i="1"/>
  <c r="AB13" i="1"/>
  <c r="G35" i="2"/>
  <c r="Q313" i="1"/>
  <c r="F80" i="2"/>
  <c r="G50" i="2"/>
  <c r="C213" i="1"/>
  <c r="C253" i="1"/>
  <c r="M193" i="1"/>
  <c r="L253" i="1"/>
  <c r="L213" i="1"/>
  <c r="D162" i="5"/>
  <c r="D163" i="5"/>
  <c r="E163" i="5"/>
  <c r="E149" i="5"/>
  <c r="E162" i="5"/>
  <c r="H213" i="1"/>
  <c r="H253" i="1"/>
  <c r="D316" i="1"/>
  <c r="D329" i="1"/>
  <c r="G313" i="1"/>
  <c r="I313" i="1"/>
  <c r="H254" i="1"/>
  <c r="H214" i="1"/>
  <c r="H274" i="1"/>
  <c r="K213" i="1"/>
  <c r="K253" i="1"/>
  <c r="J162" i="5"/>
  <c r="L314" i="1"/>
  <c r="AB34" i="1"/>
  <c r="M214" i="1"/>
  <c r="AC13" i="1"/>
  <c r="C273" i="1"/>
  <c r="L313" i="1"/>
  <c r="AB33" i="1"/>
  <c r="K273" i="1"/>
  <c r="M213" i="1"/>
  <c r="AC33" i="1"/>
  <c r="J25" i="7"/>
  <c r="E25" i="7"/>
  <c r="I52" i="7"/>
  <c r="AK333" i="2"/>
  <c r="B145" i="2"/>
  <c r="B146" i="2"/>
  <c r="C47" i="2"/>
  <c r="F47" i="2"/>
  <c r="C98" i="2"/>
  <c r="C83" i="2"/>
  <c r="C107" i="2"/>
  <c r="F98" i="2"/>
  <c r="C92" i="2"/>
  <c r="AK332" i="2"/>
  <c r="AK335" i="2"/>
  <c r="G146" i="2"/>
  <c r="G147" i="2"/>
  <c r="C329" i="1"/>
  <c r="F83" i="2"/>
  <c r="B83" i="2"/>
  <c r="E189" i="1"/>
  <c r="AK267" i="2"/>
  <c r="AG330" i="2"/>
  <c r="AC330" i="2"/>
  <c r="AC376" i="2"/>
  <c r="Y330" i="2"/>
  <c r="Y376" i="2"/>
  <c r="AK327" i="2"/>
  <c r="G330" i="2"/>
  <c r="F376" i="2"/>
  <c r="E376" i="2"/>
  <c r="F176" i="1"/>
  <c r="AK203" i="2"/>
  <c r="D126" i="2"/>
  <c r="D127" i="2"/>
  <c r="Q316" i="1"/>
  <c r="Q329" i="1" s="1"/>
  <c r="B107" i="2"/>
  <c r="F107" i="2"/>
  <c r="F82" i="2"/>
  <c r="B82" i="2"/>
  <c r="AB16" i="1"/>
  <c r="AB29" i="1" s="1"/>
  <c r="E79" i="7"/>
  <c r="AH376" i="2"/>
  <c r="AI376" i="2"/>
  <c r="L176" i="1"/>
  <c r="I176" i="1"/>
  <c r="J176" i="1"/>
  <c r="M376" i="2"/>
  <c r="H176" i="1"/>
  <c r="G196" i="1"/>
  <c r="G216" i="1"/>
  <c r="G176" i="1"/>
  <c r="F189" i="1"/>
  <c r="D376" i="2"/>
  <c r="AK328" i="2"/>
  <c r="D176" i="1"/>
  <c r="D196" i="1"/>
  <c r="B376" i="2"/>
  <c r="C176" i="1"/>
  <c r="C189" i="1" s="1"/>
  <c r="G126" i="2"/>
  <c r="E126" i="2"/>
  <c r="E127" i="2"/>
  <c r="G127" i="2"/>
  <c r="C309" i="1"/>
  <c r="H296" i="1"/>
  <c r="H309" i="1" s="1"/>
  <c r="AB56" i="1"/>
  <c r="AB69" i="1" s="1"/>
  <c r="D107" i="2"/>
  <c r="AB96" i="1"/>
  <c r="AB109" i="1" s="1"/>
  <c r="AB76" i="1"/>
  <c r="AG376" i="2"/>
  <c r="G376" i="2"/>
  <c r="I196" i="1"/>
  <c r="I209" i="1" s="1"/>
  <c r="I216" i="1"/>
  <c r="J196" i="1"/>
  <c r="J216" i="1"/>
  <c r="K196" i="1"/>
  <c r="K209" i="1" s="1"/>
  <c r="AK330" i="2"/>
  <c r="AK376" i="2"/>
  <c r="F196" i="1"/>
  <c r="H316" i="1"/>
  <c r="H329" i="1"/>
  <c r="B92" i="2"/>
  <c r="F92" i="2"/>
  <c r="L316" i="1"/>
  <c r="L329" i="1"/>
  <c r="L196" i="1"/>
  <c r="L209" i="1" s="1"/>
  <c r="L189" i="1"/>
  <c r="I189" i="1"/>
  <c r="J209" i="1"/>
  <c r="K176" i="1"/>
  <c r="K189" i="1"/>
  <c r="H196" i="1"/>
  <c r="G209" i="1"/>
  <c r="G189" i="1"/>
  <c r="F216" i="1"/>
  <c r="E196" i="1"/>
  <c r="E209" i="1" s="1"/>
  <c r="D216" i="1"/>
  <c r="D209" i="1"/>
  <c r="D189" i="1"/>
  <c r="C196" i="1"/>
  <c r="C209" i="1" s="1"/>
  <c r="G128" i="2"/>
  <c r="F209" i="1"/>
  <c r="AB36" i="1"/>
  <c r="M176" i="1"/>
  <c r="H209" i="1"/>
  <c r="H216" i="1"/>
  <c r="E216" i="1"/>
  <c r="M196" i="1"/>
  <c r="M189" i="1"/>
  <c r="M209" i="1"/>
  <c r="D103" i="5"/>
  <c r="D116" i="5"/>
  <c r="D117" i="5" s="1"/>
  <c r="G229" i="1" l="1"/>
  <c r="K216" i="1"/>
  <c r="M216" i="1"/>
  <c r="L216" i="1"/>
  <c r="D229" i="1"/>
  <c r="H229" i="1"/>
  <c r="L229" i="1"/>
  <c r="I229" i="1"/>
  <c r="C216" i="1"/>
  <c r="J229" i="1"/>
  <c r="H189" i="1"/>
  <c r="J189" i="1"/>
  <c r="M229" i="1"/>
  <c r="AB49" i="1"/>
  <c r="R29" i="1"/>
  <c r="Q29" i="1"/>
  <c r="V29" i="1"/>
  <c r="W29" i="1"/>
  <c r="H115" i="5"/>
  <c r="C103" i="5"/>
  <c r="C116" i="5" s="1"/>
  <c r="C117" i="5" s="1"/>
  <c r="E117" i="5" s="1"/>
  <c r="J101" i="5"/>
  <c r="D126" i="5"/>
  <c r="D139" i="5" s="1"/>
  <c r="D140" i="5" s="1"/>
  <c r="E140" i="5" s="1"/>
  <c r="I103" i="5"/>
  <c r="E103" i="5"/>
  <c r="E116" i="5" s="1"/>
  <c r="E126" i="5"/>
  <c r="E139" i="5" s="1"/>
  <c r="J104" i="5"/>
  <c r="E102" i="5"/>
  <c r="H103" i="5"/>
  <c r="H116" i="5" s="1"/>
  <c r="H117" i="5" s="1"/>
  <c r="E229" i="1" l="1"/>
  <c r="K229" i="1"/>
  <c r="F229" i="1"/>
  <c r="C229" i="1"/>
  <c r="I116" i="5"/>
  <c r="I117" i="5" s="1"/>
  <c r="J117" i="5" s="1"/>
  <c r="J103" i="5"/>
  <c r="J116" i="5" s="1"/>
</calcChain>
</file>

<file path=xl/comments1.xml><?xml version="1.0" encoding="utf-8"?>
<comments xmlns="http://schemas.openxmlformats.org/spreadsheetml/2006/main">
  <authors>
    <author>Careme C. Carty</author>
    <author>Brittanydc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Careme C. Carty:</t>
        </r>
        <r>
          <rPr>
            <sz val="9"/>
            <color indexed="81"/>
            <rFont val="Tahoma"/>
            <family val="2"/>
          </rPr>
          <t xml:space="preserve">
Updated figures April 12, 2018, change from 1,195 to 1214
</t>
        </r>
      </text>
    </comment>
    <comment ref="L188" authorId="1">
      <text>
        <r>
          <rPr>
            <b/>
            <sz val="8"/>
            <color indexed="81"/>
            <rFont val="Tahoma"/>
            <family val="2"/>
          </rPr>
          <t>Brittanydc:</t>
        </r>
        <r>
          <rPr>
            <sz val="8"/>
            <color indexed="81"/>
            <rFont val="Tahoma"/>
            <family val="2"/>
          </rPr>
          <t xml:space="preserve">
Eastern European Countries</t>
        </r>
      </text>
    </comment>
    <comment ref="L252" authorId="1">
      <text>
        <r>
          <rPr>
            <b/>
            <sz val="8"/>
            <color indexed="81"/>
            <rFont val="Tahoma"/>
            <family val="2"/>
          </rPr>
          <t>Brittanydc:</t>
        </r>
        <r>
          <rPr>
            <sz val="8"/>
            <color indexed="81"/>
            <rFont val="Tahoma"/>
            <family val="2"/>
          </rPr>
          <t xml:space="preserve">
Eastern European Countries</t>
        </r>
      </text>
    </comment>
    <comment ref="L315" authorId="1">
      <text>
        <r>
          <rPr>
            <b/>
            <sz val="8"/>
            <color indexed="81"/>
            <rFont val="Tahoma"/>
            <family val="2"/>
          </rPr>
          <t>Brittanydc:</t>
        </r>
        <r>
          <rPr>
            <sz val="8"/>
            <color indexed="81"/>
            <rFont val="Tahoma"/>
            <family val="2"/>
          </rPr>
          <t xml:space="preserve">
Eastern European Countries </t>
        </r>
      </text>
    </comment>
  </commentList>
</comments>
</file>

<file path=xl/sharedStrings.xml><?xml version="1.0" encoding="utf-8"?>
<sst xmlns="http://schemas.openxmlformats.org/spreadsheetml/2006/main" count="1596" uniqueCount="245">
  <si>
    <t>TOTAL</t>
  </si>
  <si>
    <t>Sandy Ground</t>
  </si>
  <si>
    <t>USA</t>
  </si>
  <si>
    <t>Other</t>
  </si>
  <si>
    <t>Canada</t>
  </si>
  <si>
    <t>Italy</t>
  </si>
  <si>
    <t>Germany</t>
  </si>
  <si>
    <t>Total</t>
  </si>
  <si>
    <t xml:space="preserve">Month </t>
  </si>
  <si>
    <t>Jan</t>
  </si>
  <si>
    <t>Feb</t>
  </si>
  <si>
    <t>March</t>
  </si>
  <si>
    <t>1st qtr</t>
  </si>
  <si>
    <t>April</t>
  </si>
  <si>
    <t>May</t>
  </si>
  <si>
    <t>June</t>
  </si>
  <si>
    <t>2nd qtr</t>
  </si>
  <si>
    <t>July</t>
  </si>
  <si>
    <t>August</t>
  </si>
  <si>
    <t>Sept</t>
  </si>
  <si>
    <t>3rd qtr</t>
  </si>
  <si>
    <t>Oct</t>
  </si>
  <si>
    <t>Nov</t>
  </si>
  <si>
    <t>Dec</t>
  </si>
  <si>
    <t>4th qtr</t>
  </si>
  <si>
    <t>Month</t>
  </si>
  <si>
    <t>U.K.</t>
  </si>
  <si>
    <t>Eur(oth)</t>
  </si>
  <si>
    <t>FWI</t>
  </si>
  <si>
    <t>DWI</t>
  </si>
  <si>
    <t>Carib.</t>
  </si>
  <si>
    <t xml:space="preserve">Total </t>
  </si>
  <si>
    <t xml:space="preserve">   1-3</t>
  </si>
  <si>
    <t xml:space="preserve">   4-7</t>
  </si>
  <si>
    <t xml:space="preserve"> 8-15</t>
  </si>
  <si>
    <t>16-22</t>
  </si>
  <si>
    <t>Avg 2003</t>
  </si>
  <si>
    <t>Avg 2004</t>
  </si>
  <si>
    <t>Tourist Arrivals by Port</t>
  </si>
  <si>
    <t xml:space="preserve">Air </t>
  </si>
  <si>
    <t xml:space="preserve">Sea </t>
  </si>
  <si>
    <t xml:space="preserve">Blowing Point </t>
  </si>
  <si>
    <t>Visitor Arrivals by Port</t>
  </si>
  <si>
    <t>Avg 2005</t>
  </si>
  <si>
    <t>Excursionist Arrivals by Port</t>
  </si>
  <si>
    <t>Avg 2006</t>
  </si>
  <si>
    <t>Avg 2007</t>
  </si>
  <si>
    <t>Mar</t>
  </si>
  <si>
    <t>Apr</t>
  </si>
  <si>
    <t>Jun</t>
  </si>
  <si>
    <t>Jul</t>
  </si>
  <si>
    <t>Aug</t>
  </si>
  <si>
    <t>Avg 2008</t>
  </si>
  <si>
    <r>
      <t xml:space="preserve">    23</t>
    </r>
    <r>
      <rPr>
        <b/>
        <vertAlign val="superscript"/>
        <sz val="12"/>
        <rFont val="Times New Roman"/>
        <family val="1"/>
      </rPr>
      <t>+</t>
    </r>
    <r>
      <rPr>
        <b/>
        <sz val="12"/>
        <rFont val="Times New Roman"/>
        <family val="1"/>
      </rPr>
      <t xml:space="preserve"> </t>
    </r>
  </si>
  <si>
    <t>Avg 2009</t>
  </si>
  <si>
    <t>Avg 2011</t>
  </si>
  <si>
    <t>Avg 2010</t>
  </si>
  <si>
    <t>Avg 2012</t>
  </si>
  <si>
    <t>Avg 2013</t>
  </si>
  <si>
    <t>Avg 2014</t>
  </si>
  <si>
    <t>Avg 2015</t>
  </si>
  <si>
    <t>AIR (Wallblake)</t>
  </si>
  <si>
    <t>SEA(sum of BP &amp; SG)</t>
  </si>
  <si>
    <t>BL. POINT</t>
  </si>
  <si>
    <t>SDY. GR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</si>
  <si>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</si>
  <si>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</si>
  <si>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</si>
  <si>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</si>
  <si>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</si>
  <si>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</si>
  <si>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</si>
  <si>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</si>
  <si>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</si>
  <si>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</si>
  <si>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</si>
  <si>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</si>
  <si>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AIR</t>
  </si>
  <si>
    <t>SEA</t>
  </si>
  <si>
    <t>VISITOR ARRIVALS BY PURPOSE</t>
  </si>
  <si>
    <t>VACATION (sum of male and female tourists arrivals)</t>
  </si>
  <si>
    <t>BUSINESS (male &amp; female arrivals)</t>
  </si>
  <si>
    <t>EXCURSIONISTS BY AIR AND SEA   (Day visitor arrivals)</t>
  </si>
  <si>
    <t>TOURISTS BY AIR AND SEA   (derived from visitors - excursionists)</t>
  </si>
  <si>
    <t xml:space="preserve">VISITORS BY AIR AND SEA  </t>
  </si>
  <si>
    <t>MONTHLY TOURIST ARRIVALS BY LENGTH OF STAY (check that total tourists by length of stay equals total tourists)</t>
  </si>
  <si>
    <t xml:space="preserve">     1-3</t>
  </si>
  <si>
    <t xml:space="preserve">     4-7</t>
  </si>
  <si>
    <t xml:space="preserve">    8-15</t>
  </si>
  <si>
    <t xml:space="preserve">   16-22</t>
  </si>
  <si>
    <t xml:space="preserve">     23+</t>
  </si>
  <si>
    <t xml:space="preserve">   TOTAL</t>
  </si>
  <si>
    <t>Airport</t>
  </si>
  <si>
    <t>Blowing Point</t>
  </si>
  <si>
    <t xml:space="preserve">1ST QUARTER </t>
  </si>
  <si>
    <t xml:space="preserve">  TOTAL</t>
  </si>
  <si>
    <t xml:space="preserve">  BEDNGTS</t>
  </si>
  <si>
    <t xml:space="preserve">  AVG LS</t>
  </si>
  <si>
    <t>=</t>
  </si>
  <si>
    <t xml:space="preserve">P/E 2ND QUARTER </t>
  </si>
  <si>
    <t>SEP</t>
  </si>
  <si>
    <t xml:space="preserve">P/E 3RD QUARTER </t>
  </si>
  <si>
    <t xml:space="preserve">P/E 4TH QUARTER </t>
  </si>
  <si>
    <t>VISITOR ARRIVALS BY COUNTRY OF RESIDENCE</t>
  </si>
  <si>
    <t>Canada(CDA)</t>
  </si>
  <si>
    <t>UK(M)</t>
  </si>
  <si>
    <t>Italy(ITL)</t>
  </si>
  <si>
    <t>Germany(GMY)</t>
  </si>
  <si>
    <t>Switzerland(SWD)</t>
  </si>
  <si>
    <t>Austria(AUS)</t>
  </si>
  <si>
    <t>Belgium(BLG)</t>
  </si>
  <si>
    <t>France(FRA)</t>
  </si>
  <si>
    <t>Luxemburg(LUX)</t>
  </si>
  <si>
    <t>EEC</t>
  </si>
  <si>
    <t>Puerto Rico(PRC)</t>
  </si>
  <si>
    <t>Bahamas(BHS)</t>
  </si>
  <si>
    <t>Bermuda(BMA)</t>
  </si>
  <si>
    <t>Jamaica(JAM)</t>
  </si>
  <si>
    <t>Cuba(CBA)</t>
  </si>
  <si>
    <t>Turks &amp; Caicos(TCS)</t>
  </si>
  <si>
    <t>Cayman Islands(CAY)</t>
  </si>
  <si>
    <t>Guyana (GUY)</t>
  </si>
  <si>
    <t>Barbados(BDS)</t>
  </si>
  <si>
    <t>T &amp; Tobago(TTO)</t>
  </si>
  <si>
    <t>St. Vincent(SVG)</t>
  </si>
  <si>
    <t>St. Lucia(SLU)</t>
  </si>
  <si>
    <t>Grenada(GDA)</t>
  </si>
  <si>
    <t>Dominica(DCA)</t>
  </si>
  <si>
    <t>Antigua(ANU)</t>
  </si>
  <si>
    <t>St. Kitts(SKN)</t>
  </si>
  <si>
    <t>Montserrat(MRT)</t>
  </si>
  <si>
    <t>Dominican Republic(DRC)</t>
  </si>
  <si>
    <t>Tortola(BVI)</t>
  </si>
  <si>
    <t>Haiti(HTI)</t>
  </si>
  <si>
    <t>St. Maarten(SMD)</t>
  </si>
  <si>
    <t>St. Martin(SMF)</t>
  </si>
  <si>
    <t>Other(OTH)</t>
  </si>
  <si>
    <t>Central &amp; South America(CSA)</t>
  </si>
  <si>
    <t/>
  </si>
  <si>
    <t xml:space="preserve">EXCURSIONIST ARRIVALS BY COUNTRY OF RESIDENCE </t>
  </si>
  <si>
    <t>UK</t>
  </si>
  <si>
    <t xml:space="preserve">TOURIST ARRIVALS BY COUNTRY OF RESIDENCE </t>
  </si>
  <si>
    <t>Switzerland(SWI)</t>
  </si>
  <si>
    <t>Grand Total</t>
  </si>
  <si>
    <t>Sep</t>
  </si>
  <si>
    <t>Vessels</t>
  </si>
  <si>
    <t>Passengers</t>
  </si>
  <si>
    <t>Passengers per vessel</t>
  </si>
  <si>
    <t>Crew Members</t>
  </si>
  <si>
    <t>Anguilla: Mid-Sized Cruise Vessel Arrivals</t>
  </si>
  <si>
    <t>Cruise Ship Arrivals 2003</t>
  </si>
  <si>
    <t>Cruise Ship Arrivals 2004</t>
  </si>
  <si>
    <t>Passenger per vessel</t>
  </si>
  <si>
    <t xml:space="preserve"> Vessels</t>
  </si>
  <si>
    <t xml:space="preserve"> Passengers</t>
  </si>
  <si>
    <t>Passenger Per Vessel</t>
  </si>
  <si>
    <t>January</t>
  </si>
  <si>
    <t>February</t>
  </si>
  <si>
    <t>1st Qtr</t>
  </si>
  <si>
    <t>September</t>
  </si>
  <si>
    <t>3rd Qtr</t>
  </si>
  <si>
    <t>October</t>
  </si>
  <si>
    <t>November</t>
  </si>
  <si>
    <t>December</t>
  </si>
  <si>
    <t>4th Qtr</t>
  </si>
  <si>
    <t>Ave</t>
  </si>
  <si>
    <t>Cruise Ship Arrivals 2005</t>
  </si>
  <si>
    <t>Cruise Ship Arrivals 2006</t>
  </si>
  <si>
    <t>Cruise Ship Arrivals 2007</t>
  </si>
  <si>
    <t>Cruise Ship Arrivals 2008</t>
  </si>
  <si>
    <t>Cruise Ship Arrivals 2009</t>
  </si>
  <si>
    <t>Cruise Ship Arrivals 2010</t>
  </si>
  <si>
    <t>Cruise Ship Arrivals 2011</t>
  </si>
  <si>
    <t>Cruise Ship Arrivals 2012</t>
  </si>
  <si>
    <t>Cruise Ship Arrivals 2013</t>
  </si>
  <si>
    <t>Cruise Ship Arrivals 2014</t>
  </si>
  <si>
    <t>Airplanes</t>
  </si>
  <si>
    <t>Ferries</t>
  </si>
  <si>
    <t>Yachts &amp; Excursions</t>
  </si>
  <si>
    <t>Total Boats</t>
  </si>
  <si>
    <t xml:space="preserve">January </t>
  </si>
  <si>
    <t xml:space="preserve">March </t>
  </si>
  <si>
    <t xml:space="preserve">April </t>
  </si>
  <si>
    <t xml:space="preserve">May </t>
  </si>
  <si>
    <t>Cruise Ship Arrivals 2015</t>
  </si>
  <si>
    <t>Avg 2016</t>
  </si>
  <si>
    <t>Cruise Ship Arrivals 2016</t>
  </si>
  <si>
    <t>Visitor Arrivals by Country of Residence 2017</t>
  </si>
  <si>
    <t>Excursionist Arrivals by Country of Residence 2017</t>
  </si>
  <si>
    <t>Tourist Arrivals by Country of Residence 2017</t>
  </si>
  <si>
    <t>Cruise Ship Arrivals 2017</t>
  </si>
  <si>
    <t>Avg 2017</t>
  </si>
  <si>
    <t xml:space="preserve">2 Economic </t>
  </si>
  <si>
    <t>2.4 Sectoral Statistics</t>
  </si>
  <si>
    <t xml:space="preserve">2.4.5 Tourism Statistics </t>
  </si>
  <si>
    <t>Visitor, tourist, excursionist and passengers</t>
  </si>
  <si>
    <t xml:space="preserve">Year, month, Intended length of stay, country of residence and port of entry &amp; exit </t>
  </si>
  <si>
    <t>Units and percentage change (%)</t>
  </si>
  <si>
    <t>TOURISM 2018</t>
  </si>
  <si>
    <t>PASSENGER ARRIVALS BY AIR AND SEA 2018 (incl. visitor arrivals - Total)</t>
  </si>
  <si>
    <t>PASSENGER DEPARTURES BY AIR AND SEA 2018 (incl. visitor departures - Total)</t>
  </si>
  <si>
    <t>Tourism Summary 2018</t>
  </si>
  <si>
    <t>Visitor Arrivals 1993 - 2018</t>
  </si>
  <si>
    <t>Tourist Arrivals 1993 - 2018</t>
  </si>
  <si>
    <t>Excursionists Arrivals 1993 - 2018</t>
  </si>
  <si>
    <t>Passenger Arrivals 1993 - 2018</t>
  </si>
  <si>
    <t>Passenger Departures 1993-2018</t>
  </si>
  <si>
    <t>Visitor Arrivals by Country of Residence 2018</t>
  </si>
  <si>
    <t>Tourist Arrivals by Country of Residence 2018</t>
  </si>
  <si>
    <t>Excursionist Arrivals by Country of Residence 2018</t>
  </si>
  <si>
    <t>Visitor Arrivals by Country of Residence 2018/2016 percentage change</t>
  </si>
  <si>
    <t>Tourist Arrivals by Country of Residence 2018/2016 percentage change</t>
  </si>
  <si>
    <t>Excursionist Arrivals by Country of Residence 2018/2016 percentage change</t>
  </si>
  <si>
    <t>Tourist Arrivals by Length of Stay 2018</t>
  </si>
  <si>
    <t>Avg 2018</t>
  </si>
  <si>
    <t>Cruise Ship Passengers 2003 - 2018</t>
  </si>
  <si>
    <t>NUMBER OF PASSENGER AIRCRAFT AND BOATS ARRIVING AND DEPARTING: MONTHLY 2018</t>
  </si>
  <si>
    <t>Last Updated: August 21, 2018</t>
  </si>
  <si>
    <t>% Change 18/17</t>
  </si>
  <si>
    <t>Arrivals</t>
  </si>
  <si>
    <t>Departures</t>
  </si>
  <si>
    <t>Last Updated: April 5, 2018</t>
  </si>
  <si>
    <t>PASSENGER PER VESSEL</t>
  </si>
  <si>
    <t>VOYAGES PER VESSEL</t>
  </si>
  <si>
    <t>REGULAR VESSELS</t>
  </si>
  <si>
    <t>CHEERS II</t>
  </si>
  <si>
    <t>DELUXE</t>
  </si>
  <si>
    <t>DIAMOND FERRIES</t>
  </si>
  <si>
    <t>EXCELLENCE</t>
  </si>
  <si>
    <t>H &amp; H CORPORATION</t>
  </si>
  <si>
    <t>JOSHLIN</t>
  </si>
  <si>
    <t>LADY MARIA</t>
  </si>
  <si>
    <t>SANDY ISLAND ENTERPRISES</t>
  </si>
  <si>
    <t>CHARTED BOATS</t>
  </si>
  <si>
    <t>CALYPSO CHARTERS</t>
  </si>
  <si>
    <t>FUNTIME CHARTERS</t>
  </si>
  <si>
    <t>GARFIELD'S SEA TOURS</t>
  </si>
  <si>
    <t>GB FERRIES</t>
  </si>
  <si>
    <t>LINK FERRIES</t>
  </si>
  <si>
    <t>SEA PRO CHARTERS</t>
  </si>
  <si>
    <t>OTHER</t>
  </si>
  <si>
    <t>ARRIVALS</t>
  </si>
  <si>
    <t>DEPARTURES</t>
  </si>
  <si>
    <t>GRAND TOTAL</t>
  </si>
  <si>
    <t xml:space="preserve">Last Updated: May  16,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</si>
</sst>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78" formatCode="0_)"/>
    <numFmt numFmtId="179" formatCode="0.00_)"/>
    <numFmt numFmtId="180" formatCode="0.0_)"/>
    <numFmt numFmtId="181" formatCode="0.0%"/>
    <numFmt numFmtId="182" formatCode="_(* #,##0.0_);_(* \(#,##0.0\);_(* &quot;-&quot;??_);_(@_)"/>
    <numFmt numFmtId="183" formatCode="_(* #,##0_);_(* \(#,##0\);_(* &quot;-&quot;??_);_(@_)"/>
    <numFmt numFmtId="187" formatCode="0.000_)"/>
    <numFmt numFmtId="190" formatCode="_(* #,##0.0000_);_(* \(#,##0.0000\);_(* &quot;-&quot;??_);_(@_)"/>
  </numFmts>
  <fonts count="58" x14ac:knownFonts="1">
    <font>
      <sz val="12"/>
      <name val="Helv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color indexed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20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Gill Sans MT"/>
      <family val="2"/>
    </font>
    <font>
      <b/>
      <sz val="10"/>
      <name val="Helv"/>
    </font>
    <font>
      <b/>
      <sz val="10"/>
      <name val="Arial"/>
      <family val="2"/>
    </font>
    <font>
      <sz val="10"/>
      <name val="Helv"/>
    </font>
    <font>
      <b/>
      <sz val="10"/>
      <name val="Gill Sans MT"/>
      <family val="2"/>
    </font>
    <font>
      <b/>
      <sz val="12"/>
      <color indexed="10"/>
      <name val="Times New Roman"/>
      <family val="1"/>
    </font>
    <font>
      <b/>
      <sz val="11"/>
      <name val="Cambria"/>
      <family val="1"/>
    </font>
    <font>
      <sz val="11"/>
      <name val="Cambria"/>
      <family val="1"/>
    </font>
    <font>
      <sz val="9"/>
      <name val="Helv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7" tint="-0.249977111117893"/>
      <name val="Helv"/>
    </font>
  </fonts>
  <fills count="52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178" fontId="0" fillId="0" borderId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2" fillId="38" borderId="0" applyNumberFormat="0" applyBorder="0" applyAlignment="0" applyProtection="0"/>
    <xf numFmtId="0" fontId="43" fillId="39" borderId="60" applyNumberFormat="0" applyAlignment="0" applyProtection="0"/>
    <xf numFmtId="0" fontId="44" fillId="40" borderId="6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1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62" applyNumberFormat="0" applyFill="0" applyAlignment="0" applyProtection="0"/>
    <xf numFmtId="0" fontId="48" fillId="0" borderId="63" applyNumberFormat="0" applyFill="0" applyAlignment="0" applyProtection="0"/>
    <xf numFmtId="0" fontId="49" fillId="0" borderId="64" applyNumberFormat="0" applyFill="0" applyAlignment="0" applyProtection="0"/>
    <xf numFmtId="0" fontId="49" fillId="0" borderId="0" applyNumberFormat="0" applyFill="0" applyBorder="0" applyAlignment="0" applyProtection="0"/>
    <xf numFmtId="0" fontId="50" fillId="42" borderId="60" applyNumberFormat="0" applyAlignment="0" applyProtection="0"/>
    <xf numFmtId="0" fontId="3" fillId="2" borderId="1"/>
    <xf numFmtId="0" fontId="51" fillId="0" borderId="65" applyNumberFormat="0" applyFill="0" applyAlignment="0" applyProtection="0"/>
    <xf numFmtId="0" fontId="52" fillId="4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44" borderId="66" applyNumberFormat="0" applyFont="0" applyAlignment="0" applyProtection="0"/>
    <xf numFmtId="0" fontId="53" fillId="39" borderId="6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1"/>
    <xf numFmtId="0" fontId="54" fillId="0" borderId="0" applyNumberFormat="0" applyFill="0" applyBorder="0" applyAlignment="0" applyProtection="0"/>
    <xf numFmtId="0" fontId="4" fillId="3" borderId="0"/>
    <xf numFmtId="0" fontId="55" fillId="0" borderId="68" applyNumberFormat="0" applyFill="0" applyAlignment="0" applyProtection="0"/>
    <xf numFmtId="0" fontId="3" fillId="0" borderId="2"/>
    <xf numFmtId="0" fontId="3" fillId="0" borderId="1"/>
    <xf numFmtId="0" fontId="56" fillId="0" borderId="0" applyNumberFormat="0" applyFill="0" applyBorder="0" applyAlignment="0" applyProtection="0"/>
  </cellStyleXfs>
  <cellXfs count="369">
    <xf numFmtId="178" fontId="0" fillId="0" borderId="0" xfId="0"/>
    <xf numFmtId="178" fontId="5" fillId="0" borderId="0" xfId="0" applyFont="1" applyFill="1" applyBorder="1"/>
    <xf numFmtId="178" fontId="5" fillId="0" borderId="0" xfId="0" applyFont="1" applyFill="1" applyBorder="1" applyAlignment="1">
      <alignment horizontal="left"/>
    </xf>
    <xf numFmtId="181" fontId="6" fillId="0" borderId="0" xfId="47" applyNumberFormat="1" applyFont="1" applyFill="1" applyBorder="1"/>
    <xf numFmtId="178" fontId="6" fillId="0" borderId="0" xfId="0" applyFont="1" applyFill="1" applyBorder="1"/>
    <xf numFmtId="178" fontId="6" fillId="0" borderId="0" xfId="0" applyFont="1" applyFill="1" applyBorder="1" applyAlignment="1">
      <alignment horizontal="right"/>
    </xf>
    <xf numFmtId="9" fontId="6" fillId="0" borderId="0" xfId="47" applyFont="1" applyFill="1" applyBorder="1"/>
    <xf numFmtId="187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78" fontId="5" fillId="0" borderId="0" xfId="0" applyFont="1" applyFill="1" applyBorder="1" applyAlignment="1">
      <alignment horizontal="center" wrapText="1"/>
    </xf>
    <xf numFmtId="178" fontId="5" fillId="0" borderId="0" xfId="0" applyFont="1" applyFill="1" applyBorder="1" applyAlignment="1">
      <alignment horizontal="center"/>
    </xf>
    <xf numFmtId="181" fontId="6" fillId="0" borderId="0" xfId="47" applyNumberFormat="1" applyFont="1" applyFill="1" applyBorder="1" applyAlignment="1">
      <alignment horizontal="center"/>
    </xf>
    <xf numFmtId="178" fontId="6" fillId="0" borderId="0" xfId="0" applyFont="1" applyFill="1" applyBorder="1" applyAlignment="1">
      <alignment horizontal="center"/>
    </xf>
    <xf numFmtId="9" fontId="6" fillId="0" borderId="0" xfId="47" applyFont="1" applyFill="1" applyBorder="1" applyAlignment="1">
      <alignment horizontal="center"/>
    </xf>
    <xf numFmtId="181" fontId="6" fillId="0" borderId="0" xfId="47" applyNumberFormat="1" applyFont="1" applyFill="1" applyBorder="1" applyAlignment="1">
      <alignment horizontal="right"/>
    </xf>
    <xf numFmtId="183" fontId="6" fillId="0" borderId="0" xfId="28" applyNumberFormat="1" applyFont="1" applyFill="1" applyBorder="1" applyAlignment="1">
      <alignment horizontal="right"/>
    </xf>
    <xf numFmtId="181" fontId="6" fillId="0" borderId="0" xfId="47" applyNumberFormat="1" applyFont="1" applyFill="1" applyBorder="1" applyAlignment="1"/>
    <xf numFmtId="9" fontId="6" fillId="0" borderId="0" xfId="47" applyNumberFormat="1" applyFont="1" applyFill="1" applyBorder="1" applyAlignment="1">
      <alignment horizontal="center"/>
    </xf>
    <xf numFmtId="178" fontId="6" fillId="0" borderId="0" xfId="0" applyFont="1" applyBorder="1" applyAlignment="1">
      <alignment horizontal="right"/>
    </xf>
    <xf numFmtId="178" fontId="6" fillId="0" borderId="0" xfId="0" applyFont="1" applyBorder="1"/>
    <xf numFmtId="178" fontId="8" fillId="0" borderId="0" xfId="0" applyFont="1" applyFill="1" applyBorder="1"/>
    <xf numFmtId="183" fontId="5" fillId="0" borderId="0" xfId="28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183" fontId="5" fillId="0" borderId="0" xfId="28" applyNumberFormat="1" applyFont="1" applyFill="1" applyBorder="1" applyAlignment="1">
      <alignment horizontal="right"/>
    </xf>
    <xf numFmtId="183" fontId="6" fillId="0" borderId="0" xfId="28" applyNumberFormat="1" applyFont="1" applyFill="1" applyBorder="1" applyAlignment="1">
      <alignment horizontal="center"/>
    </xf>
    <xf numFmtId="0" fontId="6" fillId="0" borderId="0" xfId="47" applyNumberFormat="1" applyFont="1" applyFill="1" applyBorder="1"/>
    <xf numFmtId="181" fontId="6" fillId="0" borderId="0" xfId="47" applyNumberFormat="1" applyFont="1" applyBorder="1"/>
    <xf numFmtId="183" fontId="5" fillId="0" borderId="0" xfId="28" applyNumberFormat="1" applyFont="1" applyFill="1" applyBorder="1"/>
    <xf numFmtId="10" fontId="5" fillId="0" borderId="0" xfId="47" applyNumberFormat="1" applyFont="1" applyFill="1" applyBorder="1" applyAlignment="1">
      <alignment horizontal="center"/>
    </xf>
    <xf numFmtId="178" fontId="12" fillId="0" borderId="0" xfId="42" applyNumberFormat="1" applyFont="1"/>
    <xf numFmtId="178" fontId="12" fillId="0" borderId="0" xfId="42" applyNumberFormat="1" applyFont="1" applyBorder="1"/>
    <xf numFmtId="178" fontId="12" fillId="0" borderId="0" xfId="42" applyNumberFormat="1" applyFont="1" applyFill="1" applyBorder="1"/>
    <xf numFmtId="181" fontId="12" fillId="0" borderId="0" xfId="48" applyNumberFormat="1" applyFont="1"/>
    <xf numFmtId="178" fontId="14" fillId="0" borderId="0" xfId="42" applyNumberFormat="1" applyFont="1"/>
    <xf numFmtId="178" fontId="14" fillId="0" borderId="0" xfId="42" applyNumberFormat="1" applyFont="1" applyBorder="1"/>
    <xf numFmtId="178" fontId="14" fillId="0" borderId="0" xfId="42" applyNumberFormat="1" applyFont="1" applyFill="1" applyBorder="1"/>
    <xf numFmtId="178" fontId="12" fillId="0" borderId="3" xfId="42" applyNumberFormat="1" applyFont="1" applyBorder="1" applyAlignment="1">
      <alignment horizontal="left"/>
    </xf>
    <xf numFmtId="178" fontId="15" fillId="0" borderId="4" xfId="42" applyNumberFormat="1" applyFont="1" applyBorder="1" applyAlignment="1" applyProtection="1">
      <alignment horizontal="center"/>
    </xf>
    <xf numFmtId="178" fontId="15" fillId="0" borderId="5" xfId="42" applyNumberFormat="1" applyFont="1" applyBorder="1" applyAlignment="1" applyProtection="1">
      <alignment horizontal="center"/>
    </xf>
    <xf numFmtId="178" fontId="15" fillId="0" borderId="6" xfId="42" applyNumberFormat="1" applyFont="1" applyBorder="1" applyAlignment="1" applyProtection="1">
      <alignment horizontal="left"/>
    </xf>
    <xf numFmtId="183" fontId="16" fillId="0" borderId="7" xfId="29" applyNumberFormat="1" applyFont="1" applyBorder="1" applyProtection="1"/>
    <xf numFmtId="183" fontId="15" fillId="0" borderId="7" xfId="29" applyNumberFormat="1" applyFont="1" applyBorder="1" applyProtection="1"/>
    <xf numFmtId="183" fontId="15" fillId="0" borderId="8" xfId="29" applyNumberFormat="1" applyFont="1" applyBorder="1" applyProtection="1"/>
    <xf numFmtId="178" fontId="15" fillId="0" borderId="9" xfId="42" applyNumberFormat="1" applyFont="1" applyBorder="1" applyAlignment="1" applyProtection="1">
      <alignment horizontal="left"/>
    </xf>
    <xf numFmtId="183" fontId="16" fillId="0" borderId="1" xfId="29" applyNumberFormat="1" applyFont="1" applyBorder="1" applyProtection="1"/>
    <xf numFmtId="183" fontId="15" fillId="0" borderId="1" xfId="29" applyNumberFormat="1" applyFont="1" applyBorder="1" applyProtection="1"/>
    <xf numFmtId="183" fontId="15" fillId="0" borderId="10" xfId="29" applyNumberFormat="1" applyFont="1" applyBorder="1" applyProtection="1"/>
    <xf numFmtId="178" fontId="15" fillId="0" borderId="9" xfId="42" applyNumberFormat="1" applyFont="1" applyBorder="1" applyAlignment="1" applyProtection="1"/>
    <xf numFmtId="181" fontId="15" fillId="0" borderId="0" xfId="48" applyNumberFormat="1" applyFont="1"/>
    <xf numFmtId="178" fontId="15" fillId="4" borderId="11" xfId="42" applyNumberFormat="1" applyFont="1" applyFill="1" applyBorder="1" applyAlignment="1" applyProtection="1"/>
    <xf numFmtId="183" fontId="15" fillId="4" borderId="12" xfId="29" applyNumberFormat="1" applyFont="1" applyFill="1" applyBorder="1" applyProtection="1"/>
    <xf numFmtId="183" fontId="15" fillId="4" borderId="13" xfId="29" applyNumberFormat="1" applyFont="1" applyFill="1" applyBorder="1" applyProtection="1"/>
    <xf numFmtId="178" fontId="15" fillId="0" borderId="14" xfId="42" applyNumberFormat="1" applyFont="1" applyBorder="1" applyAlignment="1" applyProtection="1">
      <alignment horizontal="left"/>
    </xf>
    <xf numFmtId="178" fontId="15" fillId="0" borderId="4" xfId="42" applyNumberFormat="1" applyFont="1" applyBorder="1" applyAlignment="1" applyProtection="1">
      <alignment horizontal="right"/>
    </xf>
    <xf numFmtId="2" fontId="12" fillId="0" borderId="0" xfId="42" applyNumberFormat="1" applyFont="1"/>
    <xf numFmtId="178" fontId="15" fillId="0" borderId="15" xfId="42" applyNumberFormat="1" applyFont="1" applyBorder="1" applyAlignment="1" applyProtection="1">
      <alignment horizontal="left"/>
    </xf>
    <xf numFmtId="183" fontId="16" fillId="0" borderId="16" xfId="29" applyNumberFormat="1" applyFont="1" applyBorder="1" applyProtection="1"/>
    <xf numFmtId="183" fontId="15" fillId="0" borderId="16" xfId="29" applyNumberFormat="1" applyFont="1" applyBorder="1" applyProtection="1"/>
    <xf numFmtId="183" fontId="15" fillId="0" borderId="17" xfId="29" applyNumberFormat="1" applyFont="1" applyBorder="1" applyProtection="1"/>
    <xf numFmtId="2" fontId="12" fillId="0" borderId="0" xfId="48" applyNumberFormat="1" applyFont="1"/>
    <xf numFmtId="178" fontId="15" fillId="4" borderId="18" xfId="42" applyNumberFormat="1" applyFont="1" applyFill="1" applyBorder="1" applyAlignment="1" applyProtection="1"/>
    <xf numFmtId="183" fontId="15" fillId="4" borderId="19" xfId="29" applyNumberFormat="1" applyFont="1" applyFill="1" applyBorder="1" applyProtection="1"/>
    <xf numFmtId="183" fontId="15" fillId="4" borderId="20" xfId="29" applyNumberFormat="1" applyFont="1" applyFill="1" applyBorder="1" applyProtection="1"/>
    <xf numFmtId="178" fontId="13" fillId="5" borderId="15" xfId="42" applyNumberFormat="1" applyFont="1" applyFill="1" applyBorder="1" applyAlignment="1" applyProtection="1">
      <alignment horizontal="left"/>
    </xf>
    <xf numFmtId="178" fontId="14" fillId="5" borderId="21" xfId="42" applyNumberFormat="1" applyFont="1" applyFill="1" applyBorder="1"/>
    <xf numFmtId="178" fontId="14" fillId="5" borderId="22" xfId="42" applyNumberFormat="1" applyFont="1" applyFill="1" applyBorder="1"/>
    <xf numFmtId="178" fontId="13" fillId="5" borderId="11" xfId="42" applyNumberFormat="1" applyFont="1" applyFill="1" applyBorder="1" applyAlignment="1" applyProtection="1">
      <alignment horizontal="left"/>
    </xf>
    <xf numFmtId="178" fontId="14" fillId="5" borderId="0" xfId="42" applyNumberFormat="1" applyFont="1" applyFill="1" applyBorder="1"/>
    <xf numFmtId="178" fontId="14" fillId="5" borderId="23" xfId="42" applyNumberFormat="1" applyFont="1" applyFill="1" applyBorder="1"/>
    <xf numFmtId="178" fontId="15" fillId="0" borderId="5" xfId="42" applyNumberFormat="1" applyFont="1" applyBorder="1" applyAlignment="1" applyProtection="1">
      <alignment horizontal="right"/>
    </xf>
    <xf numFmtId="181" fontId="12" fillId="0" borderId="0" xfId="47" applyNumberFormat="1" applyFont="1"/>
    <xf numFmtId="178" fontId="13" fillId="5" borderId="24" xfId="42" applyNumberFormat="1" applyFont="1" applyFill="1" applyBorder="1" applyAlignment="1" applyProtection="1">
      <alignment horizontal="left"/>
    </xf>
    <xf numFmtId="178" fontId="17" fillId="0" borderId="5" xfId="42" applyNumberFormat="1" applyFont="1" applyBorder="1" applyAlignment="1" applyProtection="1">
      <alignment horizontal="right"/>
    </xf>
    <xf numFmtId="178" fontId="16" fillId="0" borderId="7" xfId="42" applyNumberFormat="1" applyFont="1" applyBorder="1" applyProtection="1"/>
    <xf numFmtId="178" fontId="15" fillId="0" borderId="7" xfId="42" applyNumberFormat="1" applyFont="1" applyBorder="1" applyProtection="1"/>
    <xf numFmtId="178" fontId="15" fillId="0" borderId="8" xfId="42" applyNumberFormat="1" applyFont="1" applyBorder="1" applyProtection="1"/>
    <xf numFmtId="178" fontId="16" fillId="0" borderId="1" xfId="42" applyNumberFormat="1" applyFont="1" applyBorder="1" applyProtection="1"/>
    <xf numFmtId="178" fontId="15" fillId="0" borderId="1" xfId="42" applyNumberFormat="1" applyFont="1" applyBorder="1" applyProtection="1"/>
    <xf numFmtId="178" fontId="15" fillId="0" borderId="10" xfId="42" applyNumberFormat="1" applyFont="1" applyBorder="1" applyProtection="1"/>
    <xf numFmtId="178" fontId="15" fillId="4" borderId="19" xfId="42" applyNumberFormat="1" applyFont="1" applyFill="1" applyBorder="1" applyProtection="1"/>
    <xf numFmtId="178" fontId="13" fillId="5" borderId="24" xfId="42" applyNumberFormat="1" applyFont="1" applyFill="1" applyBorder="1" applyProtection="1"/>
    <xf numFmtId="178" fontId="17" fillId="0" borderId="14" xfId="42" applyNumberFormat="1" applyFont="1" applyBorder="1" applyProtection="1"/>
    <xf numFmtId="178" fontId="17" fillId="0" borderId="4" xfId="42" applyNumberFormat="1" applyFont="1" applyBorder="1" applyAlignment="1" applyProtection="1">
      <alignment horizontal="right"/>
    </xf>
    <xf numFmtId="178" fontId="18" fillId="5" borderId="24" xfId="42" applyNumberFormat="1" applyFont="1" applyFill="1" applyBorder="1" applyProtection="1"/>
    <xf numFmtId="178" fontId="12" fillId="5" borderId="21" xfId="42" applyNumberFormat="1" applyFont="1" applyFill="1" applyBorder="1"/>
    <xf numFmtId="178" fontId="12" fillId="5" borderId="22" xfId="42" applyNumberFormat="1" applyFont="1" applyFill="1" applyBorder="1"/>
    <xf numFmtId="178" fontId="19" fillId="0" borderId="14" xfId="42" applyNumberFormat="1" applyFont="1" applyBorder="1" applyProtection="1"/>
    <xf numFmtId="178" fontId="17" fillId="0" borderId="0" xfId="42" applyNumberFormat="1" applyFont="1" applyFill="1" applyBorder="1" applyAlignment="1" applyProtection="1">
      <alignment horizontal="right"/>
    </xf>
    <xf numFmtId="178" fontId="16" fillId="0" borderId="0" xfId="42" applyNumberFormat="1" applyFont="1" applyFill="1" applyBorder="1" applyProtection="1"/>
    <xf numFmtId="181" fontId="16" fillId="0" borderId="0" xfId="47" applyNumberFormat="1" applyFont="1" applyFill="1" applyBorder="1" applyProtection="1"/>
    <xf numFmtId="181" fontId="16" fillId="0" borderId="0" xfId="48" applyNumberFormat="1" applyFont="1" applyFill="1" applyBorder="1" applyProtection="1"/>
    <xf numFmtId="183" fontId="16" fillId="0" borderId="0" xfId="48" applyNumberFormat="1" applyFont="1" applyFill="1" applyBorder="1" applyProtection="1"/>
    <xf numFmtId="183" fontId="16" fillId="0" borderId="0" xfId="29" applyNumberFormat="1" applyFont="1" applyFill="1" applyBorder="1" applyProtection="1"/>
    <xf numFmtId="190" fontId="16" fillId="0" borderId="0" xfId="29" applyNumberFormat="1" applyFont="1" applyFill="1" applyBorder="1" applyProtection="1"/>
    <xf numFmtId="178" fontId="12" fillId="5" borderId="25" xfId="42" applyNumberFormat="1" applyFont="1" applyFill="1" applyBorder="1" applyProtection="1"/>
    <xf numFmtId="178" fontId="12" fillId="5" borderId="26" xfId="42" applyNumberFormat="1" applyFont="1" applyFill="1" applyBorder="1" applyProtection="1"/>
    <xf numFmtId="178" fontId="12" fillId="5" borderId="27" xfId="42" applyNumberFormat="1" applyFont="1" applyFill="1" applyBorder="1" applyProtection="1"/>
    <xf numFmtId="178" fontId="12" fillId="0" borderId="0" xfId="42" applyNumberFormat="1" applyFont="1" applyFill="1" applyBorder="1" applyProtection="1"/>
    <xf numFmtId="178" fontId="16" fillId="0" borderId="14" xfId="42" applyNumberFormat="1" applyFont="1" applyBorder="1" applyProtection="1"/>
    <xf numFmtId="178" fontId="15" fillId="0" borderId="28" xfId="42" applyNumberFormat="1" applyFont="1" applyBorder="1" applyAlignment="1" applyProtection="1">
      <alignment horizontal="right"/>
    </xf>
    <xf numFmtId="178" fontId="15" fillId="0" borderId="29" xfId="42" applyNumberFormat="1" applyFont="1" applyBorder="1" applyAlignment="1" applyProtection="1">
      <alignment horizontal="right"/>
    </xf>
    <xf numFmtId="178" fontId="16" fillId="0" borderId="0" xfId="42" applyNumberFormat="1" applyFont="1"/>
    <xf numFmtId="178" fontId="16" fillId="0" borderId="0" xfId="42" applyNumberFormat="1" applyFont="1" applyBorder="1"/>
    <xf numFmtId="178" fontId="16" fillId="0" borderId="0" xfId="42" applyNumberFormat="1" applyFont="1" applyFill="1" applyBorder="1"/>
    <xf numFmtId="178" fontId="17" fillId="6" borderId="6" xfId="42" applyNumberFormat="1" applyFont="1" applyFill="1" applyBorder="1" applyProtection="1"/>
    <xf numFmtId="179" fontId="19" fillId="0" borderId="7" xfId="42" applyNumberFormat="1" applyFont="1" applyBorder="1" applyProtection="1"/>
    <xf numFmtId="178" fontId="19" fillId="0" borderId="7" xfId="42" applyNumberFormat="1" applyFont="1" applyBorder="1" applyProtection="1"/>
    <xf numFmtId="178" fontId="19" fillId="0" borderId="30" xfId="42" applyNumberFormat="1" applyFont="1" applyBorder="1" applyProtection="1"/>
    <xf numFmtId="178" fontId="19" fillId="0" borderId="31" xfId="42" applyNumberFormat="1" applyFont="1" applyBorder="1" applyProtection="1"/>
    <xf numFmtId="178" fontId="19" fillId="0" borderId="0" xfId="42" applyNumberFormat="1" applyFont="1" applyFill="1" applyBorder="1" applyProtection="1"/>
    <xf numFmtId="178" fontId="17" fillId="0" borderId="9" xfId="42" applyNumberFormat="1" applyFont="1" applyBorder="1" applyProtection="1"/>
    <xf numFmtId="183" fontId="16" fillId="0" borderId="32" xfId="29" applyNumberFormat="1" applyFont="1" applyBorder="1" applyProtection="1"/>
    <xf numFmtId="183" fontId="15" fillId="0" borderId="33" xfId="29" applyNumberFormat="1" applyFont="1" applyBorder="1" applyProtection="1"/>
    <xf numFmtId="178" fontId="16" fillId="0" borderId="32" xfId="42" applyNumberFormat="1" applyFont="1" applyBorder="1" applyProtection="1"/>
    <xf numFmtId="183" fontId="15" fillId="0" borderId="33" xfId="29" applyNumberFormat="1" applyFont="1" applyBorder="1" applyAlignment="1" applyProtection="1">
      <alignment horizontal="right"/>
    </xf>
    <xf numFmtId="178" fontId="17" fillId="7" borderId="9" xfId="42" applyNumberFormat="1" applyFont="1" applyFill="1" applyBorder="1" applyProtection="1"/>
    <xf numFmtId="183" fontId="15" fillId="7" borderId="1" xfId="29" applyNumberFormat="1" applyFont="1" applyFill="1" applyBorder="1" applyProtection="1"/>
    <xf numFmtId="183" fontId="15" fillId="7" borderId="32" xfId="29" applyNumberFormat="1" applyFont="1" applyFill="1" applyBorder="1" applyProtection="1"/>
    <xf numFmtId="183" fontId="15" fillId="7" borderId="33" xfId="29" applyNumberFormat="1" applyFont="1" applyFill="1" applyBorder="1" applyProtection="1"/>
    <xf numFmtId="178" fontId="17" fillId="0" borderId="0" xfId="42" applyNumberFormat="1" applyFont="1" applyFill="1" applyBorder="1" applyProtection="1"/>
    <xf numFmtId="178" fontId="17" fillId="6" borderId="9" xfId="42" applyNumberFormat="1" applyFont="1" applyFill="1" applyBorder="1" applyProtection="1"/>
    <xf numFmtId="181" fontId="17" fillId="0" borderId="1" xfId="48" applyNumberFormat="1" applyFont="1" applyBorder="1" applyProtection="1"/>
    <xf numFmtId="0" fontId="17" fillId="0" borderId="1" xfId="48" applyNumberFormat="1" applyFont="1" applyBorder="1" applyProtection="1"/>
    <xf numFmtId="183" fontId="17" fillId="0" borderId="33" xfId="29" applyNumberFormat="1" applyFont="1" applyBorder="1" applyProtection="1"/>
    <xf numFmtId="178" fontId="15" fillId="0" borderId="32" xfId="42" applyNumberFormat="1" applyFont="1" applyBorder="1" applyProtection="1"/>
    <xf numFmtId="178" fontId="15" fillId="6" borderId="1" xfId="42" applyNumberFormat="1" applyFont="1" applyFill="1" applyBorder="1" applyProtection="1"/>
    <xf numFmtId="178" fontId="15" fillId="6" borderId="32" xfId="42" applyNumberFormat="1" applyFont="1" applyFill="1" applyBorder="1" applyProtection="1"/>
    <xf numFmtId="183" fontId="15" fillId="6" borderId="33" xfId="29" applyNumberFormat="1" applyFont="1" applyFill="1" applyBorder="1" applyProtection="1"/>
    <xf numFmtId="183" fontId="15" fillId="0" borderId="32" xfId="29" applyNumberFormat="1" applyFont="1" applyBorder="1" applyProtection="1"/>
    <xf numFmtId="178" fontId="18" fillId="0" borderId="0" xfId="42" applyNumberFormat="1" applyFont="1"/>
    <xf numFmtId="178" fontId="18" fillId="0" borderId="0" xfId="42" applyNumberFormat="1" applyFont="1" applyBorder="1"/>
    <xf numFmtId="178" fontId="18" fillId="0" borderId="0" xfId="42" applyNumberFormat="1" applyFont="1" applyFill="1" applyBorder="1"/>
    <xf numFmtId="178" fontId="17" fillId="8" borderId="9" xfId="42" applyNumberFormat="1" applyFont="1" applyFill="1" applyBorder="1" applyProtection="1"/>
    <xf numFmtId="178" fontId="15" fillId="8" borderId="1" xfId="42" applyNumberFormat="1" applyFont="1" applyFill="1" applyBorder="1" applyProtection="1"/>
    <xf numFmtId="178" fontId="15" fillId="8" borderId="32" xfId="42" applyNumberFormat="1" applyFont="1" applyFill="1" applyBorder="1" applyProtection="1"/>
    <xf numFmtId="182" fontId="15" fillId="8" borderId="33" xfId="29" applyNumberFormat="1" applyFont="1" applyFill="1" applyBorder="1" applyProtection="1"/>
    <xf numFmtId="178" fontId="17" fillId="0" borderId="1" xfId="42" applyNumberFormat="1" applyFont="1" applyBorder="1" applyProtection="1"/>
    <xf numFmtId="178" fontId="17" fillId="0" borderId="32" xfId="42" applyNumberFormat="1" applyFont="1" applyBorder="1" applyProtection="1"/>
    <xf numFmtId="178" fontId="14" fillId="0" borderId="1" xfId="42" applyNumberFormat="1" applyFont="1" applyBorder="1" applyProtection="1"/>
    <xf numFmtId="178" fontId="14" fillId="0" borderId="32" xfId="42" applyNumberFormat="1" applyFont="1" applyBorder="1" applyProtection="1"/>
    <xf numFmtId="178" fontId="15" fillId="6" borderId="33" xfId="42" applyNumberFormat="1" applyFont="1" applyFill="1" applyBorder="1" applyProtection="1"/>
    <xf numFmtId="180" fontId="15" fillId="8" borderId="33" xfId="42" applyNumberFormat="1" applyFont="1" applyFill="1" applyBorder="1" applyProtection="1"/>
    <xf numFmtId="180" fontId="17" fillId="0" borderId="0" xfId="42" applyNumberFormat="1" applyFont="1" applyFill="1" applyBorder="1" applyProtection="1"/>
    <xf numFmtId="178" fontId="17" fillId="0" borderId="0" xfId="42" applyNumberFormat="1" applyFont="1" applyBorder="1" applyProtection="1"/>
    <xf numFmtId="180" fontId="17" fillId="0" borderId="0" xfId="42" applyNumberFormat="1" applyFont="1" applyBorder="1" applyProtection="1"/>
    <xf numFmtId="178" fontId="12" fillId="5" borderId="34" xfId="42" applyNumberFormat="1" applyFont="1" applyFill="1" applyBorder="1" applyProtection="1"/>
    <xf numFmtId="178" fontId="19" fillId="0" borderId="14" xfId="42" applyNumberFormat="1" applyFont="1" applyBorder="1" applyAlignment="1" applyProtection="1">
      <alignment horizontal="center"/>
    </xf>
    <xf numFmtId="178" fontId="17" fillId="0" borderId="4" xfId="42" applyNumberFormat="1" applyFont="1" applyBorder="1" applyAlignment="1" applyProtection="1">
      <alignment horizontal="center"/>
    </xf>
    <xf numFmtId="178" fontId="17" fillId="0" borderId="5" xfId="42" applyNumberFormat="1" applyFont="1" applyBorder="1" applyAlignment="1" applyProtection="1">
      <alignment horizontal="center"/>
    </xf>
    <xf numFmtId="178" fontId="12" fillId="0" borderId="0" xfId="42" applyNumberFormat="1" applyFont="1" applyFill="1" applyBorder="1" applyAlignment="1">
      <alignment horizontal="center"/>
    </xf>
    <xf numFmtId="178" fontId="17" fillId="6" borderId="15" xfId="42" applyNumberFormat="1" applyFont="1" applyFill="1" applyBorder="1" applyProtection="1"/>
    <xf numFmtId="0" fontId="17" fillId="0" borderId="16" xfId="42" applyNumberFormat="1" applyFont="1" applyBorder="1" applyProtection="1"/>
    <xf numFmtId="178" fontId="17" fillId="0" borderId="17" xfId="42" applyNumberFormat="1" applyFont="1" applyBorder="1" applyProtection="1"/>
    <xf numFmtId="0" fontId="16" fillId="0" borderId="1" xfId="29" applyNumberFormat="1" applyFont="1" applyBorder="1" applyProtection="1"/>
    <xf numFmtId="178" fontId="17" fillId="9" borderId="9" xfId="42" applyNumberFormat="1" applyFont="1" applyFill="1" applyBorder="1" applyProtection="1"/>
    <xf numFmtId="183" fontId="15" fillId="9" borderId="1" xfId="29" applyNumberFormat="1" applyFont="1" applyFill="1" applyBorder="1" applyProtection="1"/>
    <xf numFmtId="0" fontId="15" fillId="9" borderId="1" xfId="29" applyNumberFormat="1" applyFont="1" applyFill="1" applyBorder="1" applyProtection="1"/>
    <xf numFmtId="183" fontId="15" fillId="9" borderId="10" xfId="29" applyNumberFormat="1" applyFont="1" applyFill="1" applyBorder="1" applyProtection="1"/>
    <xf numFmtId="0" fontId="15" fillId="0" borderId="1" xfId="29" applyNumberFormat="1" applyFont="1" applyBorder="1" applyProtection="1"/>
    <xf numFmtId="178" fontId="15" fillId="0" borderId="0" xfId="42" applyNumberFormat="1" applyFont="1" applyFill="1" applyBorder="1" applyProtection="1"/>
    <xf numFmtId="178" fontId="17" fillId="9" borderId="18" xfId="42" applyNumberFormat="1" applyFont="1" applyFill="1" applyBorder="1" applyProtection="1"/>
    <xf numFmtId="183" fontId="15" fillId="9" borderId="20" xfId="29" applyNumberFormat="1" applyFont="1" applyFill="1" applyBorder="1" applyProtection="1"/>
    <xf numFmtId="178" fontId="19" fillId="0" borderId="0" xfId="42" applyNumberFormat="1" applyFont="1" applyBorder="1" applyAlignment="1" applyProtection="1">
      <alignment horizontal="fill"/>
    </xf>
    <xf numFmtId="0" fontId="16" fillId="0" borderId="0" xfId="42" applyNumberFormat="1" applyFont="1" applyBorder="1" applyAlignment="1" applyProtection="1">
      <alignment horizontal="fill"/>
    </xf>
    <xf numFmtId="0" fontId="19" fillId="0" borderId="0" xfId="42" applyNumberFormat="1" applyFont="1" applyBorder="1" applyAlignment="1" applyProtection="1">
      <alignment horizontal="fill"/>
    </xf>
    <xf numFmtId="178" fontId="18" fillId="5" borderId="14" xfId="42" applyNumberFormat="1" applyFont="1" applyFill="1" applyBorder="1" applyProtection="1"/>
    <xf numFmtId="0" fontId="12" fillId="5" borderId="4" xfId="42" applyNumberFormat="1" applyFont="1" applyFill="1" applyBorder="1" applyProtection="1"/>
    <xf numFmtId="178" fontId="12" fillId="5" borderId="5" xfId="42" applyNumberFormat="1" applyFont="1" applyFill="1" applyBorder="1" applyProtection="1"/>
    <xf numFmtId="178" fontId="19" fillId="0" borderId="35" xfId="42" applyNumberFormat="1" applyFont="1" applyBorder="1" applyAlignment="1" applyProtection="1">
      <alignment horizontal="center"/>
    </xf>
    <xf numFmtId="0" fontId="17" fillId="0" borderId="36" xfId="42" applyNumberFormat="1" applyFont="1" applyBorder="1" applyAlignment="1" applyProtection="1">
      <alignment horizontal="center"/>
    </xf>
    <xf numFmtId="178" fontId="17" fillId="0" borderId="36" xfId="42" applyNumberFormat="1" applyFont="1" applyBorder="1" applyAlignment="1" applyProtection="1">
      <alignment horizontal="center"/>
    </xf>
    <xf numFmtId="178" fontId="17" fillId="0" borderId="37" xfId="42" applyNumberFormat="1" applyFont="1" applyBorder="1" applyAlignment="1" applyProtection="1">
      <alignment horizontal="center"/>
    </xf>
    <xf numFmtId="178" fontId="19" fillId="0" borderId="0" xfId="42" applyNumberFormat="1" applyFont="1" applyBorder="1" applyProtection="1"/>
    <xf numFmtId="0" fontId="16" fillId="0" borderId="0" xfId="42" applyNumberFormat="1" applyFont="1" applyBorder="1" applyProtection="1"/>
    <xf numFmtId="0" fontId="19" fillId="0" borderId="0" xfId="42" applyNumberFormat="1" applyFont="1" applyBorder="1" applyProtection="1"/>
    <xf numFmtId="0" fontId="17" fillId="0" borderId="4" xfId="42" applyNumberFormat="1" applyFont="1" applyBorder="1" applyAlignment="1" applyProtection="1">
      <alignment horizontal="center"/>
    </xf>
    <xf numFmtId="3" fontId="15" fillId="0" borderId="7" xfId="42" applyNumberFormat="1" applyFont="1" applyBorder="1" applyProtection="1"/>
    <xf numFmtId="3" fontId="17" fillId="0" borderId="7" xfId="42" applyNumberFormat="1" applyFont="1" applyBorder="1" applyProtection="1"/>
    <xf numFmtId="3" fontId="17" fillId="0" borderId="8" xfId="42" applyNumberFormat="1" applyFont="1" applyBorder="1" applyProtection="1"/>
    <xf numFmtId="3" fontId="16" fillId="0" borderId="1" xfId="29" applyNumberFormat="1" applyFont="1" applyBorder="1" applyProtection="1"/>
    <xf numFmtId="3" fontId="15" fillId="0" borderId="10" xfId="29" applyNumberFormat="1" applyFont="1" applyBorder="1" applyProtection="1"/>
    <xf numFmtId="183" fontId="12" fillId="0" borderId="0" xfId="29" applyNumberFormat="1" applyFont="1" applyFill="1" applyBorder="1"/>
    <xf numFmtId="3" fontId="15" fillId="9" borderId="1" xfId="29" applyNumberFormat="1" applyFont="1" applyFill="1" applyBorder="1" applyProtection="1"/>
    <xf numFmtId="3" fontId="17" fillId="9" borderId="1" xfId="29" applyNumberFormat="1" applyFont="1" applyFill="1" applyBorder="1" applyProtection="1"/>
    <xf numFmtId="3" fontId="15" fillId="9" borderId="10" xfId="29" applyNumberFormat="1" applyFont="1" applyFill="1" applyBorder="1" applyProtection="1"/>
    <xf numFmtId="3" fontId="15" fillId="0" borderId="1" xfId="29" applyNumberFormat="1" applyFont="1" applyBorder="1" applyProtection="1"/>
    <xf numFmtId="3" fontId="17" fillId="0" borderId="1" xfId="29" applyNumberFormat="1" applyFont="1" applyBorder="1" applyProtection="1"/>
    <xf numFmtId="3" fontId="19" fillId="0" borderId="1" xfId="29" applyNumberFormat="1" applyFont="1" applyBorder="1" applyProtection="1"/>
    <xf numFmtId="3" fontId="17" fillId="0" borderId="10" xfId="29" applyNumberFormat="1" applyFont="1" applyBorder="1" applyProtection="1"/>
    <xf numFmtId="3" fontId="16" fillId="0" borderId="1" xfId="29" applyNumberFormat="1" applyFont="1" applyFill="1" applyBorder="1" applyProtection="1"/>
    <xf numFmtId="3" fontId="16" fillId="0" borderId="10" xfId="29" applyNumberFormat="1" applyFont="1" applyBorder="1" applyProtection="1"/>
    <xf numFmtId="3" fontId="15" fillId="9" borderId="19" xfId="29" applyNumberFormat="1" applyFont="1" applyFill="1" applyBorder="1" applyProtection="1"/>
    <xf numFmtId="3" fontId="15" fillId="9" borderId="20" xfId="29" applyNumberFormat="1" applyFont="1" applyFill="1" applyBorder="1" applyProtection="1"/>
    <xf numFmtId="178" fontId="18" fillId="6" borderId="3" xfId="42" applyNumberFormat="1" applyFont="1" applyFill="1" applyBorder="1" applyAlignment="1">
      <alignment horizontal="left"/>
    </xf>
    <xf numFmtId="178" fontId="18" fillId="6" borderId="38" xfId="42" applyNumberFormat="1" applyFont="1" applyFill="1" applyBorder="1"/>
    <xf numFmtId="178" fontId="18" fillId="6" borderId="39" xfId="42" applyNumberFormat="1" applyFont="1" applyFill="1" applyBorder="1"/>
    <xf numFmtId="178" fontId="12" fillId="0" borderId="0" xfId="42" applyNumberFormat="1" applyFont="1" applyAlignment="1">
      <alignment horizontal="left"/>
    </xf>
    <xf numFmtId="0" fontId="12" fillId="0" borderId="0" xfId="42" applyNumberFormat="1" applyFont="1"/>
    <xf numFmtId="178" fontId="18" fillId="0" borderId="0" xfId="42" applyNumberFormat="1" applyFont="1" applyAlignment="1">
      <alignment horizontal="left"/>
    </xf>
    <xf numFmtId="178" fontId="22" fillId="0" borderId="0" xfId="0" applyFont="1"/>
    <xf numFmtId="178" fontId="9" fillId="0" borderId="40" xfId="0" applyFont="1" applyBorder="1" applyAlignment="1">
      <alignment horizontal="center"/>
    </xf>
    <xf numFmtId="178" fontId="9" fillId="0" borderId="21" xfId="0" applyFont="1" applyBorder="1" applyAlignment="1">
      <alignment horizontal="center"/>
    </xf>
    <xf numFmtId="178" fontId="9" fillId="0" borderId="22" xfId="0" applyFont="1" applyBorder="1" applyAlignment="1">
      <alignment horizontal="center"/>
    </xf>
    <xf numFmtId="178" fontId="9" fillId="0" borderId="41" xfId="0" applyFont="1" applyBorder="1" applyAlignment="1">
      <alignment horizontal="center"/>
    </xf>
    <xf numFmtId="178" fontId="9" fillId="0" borderId="41" xfId="0" applyFont="1" applyBorder="1"/>
    <xf numFmtId="178" fontId="22" fillId="0" borderId="40" xfId="0" applyFont="1" applyBorder="1"/>
    <xf numFmtId="178" fontId="22" fillId="0" borderId="21" xfId="0" applyFont="1" applyBorder="1"/>
    <xf numFmtId="178" fontId="22" fillId="0" borderId="41" xfId="0" applyFont="1" applyBorder="1"/>
    <xf numFmtId="178" fontId="9" fillId="0" borderId="42" xfId="0" applyFont="1" applyBorder="1"/>
    <xf numFmtId="178" fontId="22" fillId="0" borderId="43" xfId="0" applyFont="1" applyBorder="1"/>
    <xf numFmtId="178" fontId="22" fillId="0" borderId="0" xfId="0" applyFont="1" applyBorder="1"/>
    <xf numFmtId="178" fontId="22" fillId="0" borderId="42" xfId="0" applyFont="1" applyBorder="1"/>
    <xf numFmtId="178" fontId="9" fillId="0" borderId="44" xfId="0" applyFont="1" applyBorder="1" applyAlignment="1">
      <alignment wrapText="1"/>
    </xf>
    <xf numFmtId="178" fontId="22" fillId="0" borderId="45" xfId="0" applyFont="1" applyBorder="1"/>
    <xf numFmtId="178" fontId="22" fillId="0" borderId="46" xfId="0" applyFont="1" applyBorder="1"/>
    <xf numFmtId="178" fontId="22" fillId="0" borderId="44" xfId="0" applyFont="1" applyBorder="1"/>
    <xf numFmtId="178" fontId="22" fillId="0" borderId="22" xfId="0" applyFont="1" applyBorder="1"/>
    <xf numFmtId="178" fontId="22" fillId="0" borderId="23" xfId="0" applyFont="1" applyBorder="1"/>
    <xf numFmtId="178" fontId="22" fillId="0" borderId="47" xfId="0" applyFont="1" applyBorder="1"/>
    <xf numFmtId="0" fontId="6" fillId="0" borderId="0" xfId="0" applyNumberFormat="1" applyFont="1" applyFill="1" applyBorder="1"/>
    <xf numFmtId="0" fontId="6" fillId="0" borderId="0" xfId="28" applyNumberFormat="1" applyFont="1" applyFill="1" applyBorder="1"/>
    <xf numFmtId="0" fontId="6" fillId="0" borderId="0" xfId="28" applyNumberFormat="1" applyFont="1" applyBorder="1"/>
    <xf numFmtId="178" fontId="5" fillId="0" borderId="0" xfId="0" applyFont="1" applyAlignment="1"/>
    <xf numFmtId="178" fontId="6" fillId="0" borderId="0" xfId="0" applyFont="1"/>
    <xf numFmtId="178" fontId="5" fillId="0" borderId="3" xfId="0" applyFont="1" applyBorder="1" applyAlignment="1">
      <alignment horizontal="center"/>
    </xf>
    <xf numFmtId="178" fontId="5" fillId="0" borderId="48" xfId="0" applyFont="1" applyBorder="1" applyAlignment="1">
      <alignment horizontal="center"/>
    </xf>
    <xf numFmtId="178" fontId="5" fillId="0" borderId="48" xfId="0" applyFont="1" applyBorder="1" applyAlignment="1">
      <alignment horizontal="center" wrapText="1"/>
    </xf>
    <xf numFmtId="178" fontId="6" fillId="0" borderId="0" xfId="0" applyFont="1" applyBorder="1" applyAlignment="1">
      <alignment wrapText="1"/>
    </xf>
    <xf numFmtId="178" fontId="5" fillId="0" borderId="43" xfId="0" applyFont="1" applyBorder="1"/>
    <xf numFmtId="178" fontId="6" fillId="0" borderId="42" xfId="0" applyFont="1" applyBorder="1" applyAlignment="1">
      <alignment horizontal="center"/>
    </xf>
    <xf numFmtId="178" fontId="5" fillId="0" borderId="42" xfId="0" applyFont="1" applyBorder="1"/>
    <xf numFmtId="178" fontId="6" fillId="0" borderId="42" xfId="0" applyFont="1" applyFill="1" applyBorder="1" applyAlignment="1">
      <alignment horizontal="center"/>
    </xf>
    <xf numFmtId="0" fontId="6" fillId="0" borderId="42" xfId="28" applyNumberFormat="1" applyFont="1" applyFill="1" applyBorder="1" applyAlignment="1">
      <alignment horizontal="center"/>
    </xf>
    <xf numFmtId="178" fontId="5" fillId="0" borderId="3" xfId="0" applyFont="1" applyBorder="1"/>
    <xf numFmtId="0" fontId="5" fillId="0" borderId="48" xfId="28" applyNumberFormat="1" applyFont="1" applyBorder="1" applyAlignment="1">
      <alignment horizontal="center"/>
    </xf>
    <xf numFmtId="178" fontId="5" fillId="0" borderId="0" xfId="0" applyFont="1" applyBorder="1"/>
    <xf numFmtId="178" fontId="5" fillId="0" borderId="48" xfId="0" applyFont="1" applyBorder="1"/>
    <xf numFmtId="178" fontId="5" fillId="0" borderId="3" xfId="0" applyFont="1" applyFill="1" applyBorder="1"/>
    <xf numFmtId="178" fontId="5" fillId="0" borderId="38" xfId="0" applyFont="1" applyBorder="1" applyAlignment="1">
      <alignment horizontal="center"/>
    </xf>
    <xf numFmtId="178" fontId="5" fillId="0" borderId="0" xfId="0" applyFont="1"/>
    <xf numFmtId="178" fontId="5" fillId="10" borderId="43" xfId="0" applyFont="1" applyFill="1" applyBorder="1"/>
    <xf numFmtId="178" fontId="5" fillId="10" borderId="42" xfId="0" applyFont="1" applyFill="1" applyBorder="1" applyAlignment="1">
      <alignment horizontal="center"/>
    </xf>
    <xf numFmtId="178" fontId="5" fillId="10" borderId="42" xfId="0" applyNumberFormat="1" applyFont="1" applyFill="1" applyBorder="1" applyAlignment="1">
      <alignment horizontal="center"/>
    </xf>
    <xf numFmtId="178" fontId="24" fillId="0" borderId="0" xfId="0" applyFont="1"/>
    <xf numFmtId="0" fontId="26" fillId="0" borderId="48" xfId="0" applyNumberFormat="1" applyFont="1" applyFill="1" applyBorder="1" applyAlignment="1">
      <alignment horizontal="center" wrapText="1"/>
    </xf>
    <xf numFmtId="178" fontId="27" fillId="0" borderId="41" xfId="0" applyFont="1" applyBorder="1" applyAlignment="1">
      <alignment horizontal="left" indent="1"/>
    </xf>
    <xf numFmtId="3" fontId="1" fillId="0" borderId="41" xfId="28" applyNumberFormat="1" applyFont="1" applyFill="1" applyBorder="1" applyAlignment="1">
      <alignment horizontal="right" indent="1"/>
    </xf>
    <xf numFmtId="178" fontId="27" fillId="0" borderId="42" xfId="0" applyFont="1" applyBorder="1" applyAlignment="1">
      <alignment horizontal="left" indent="1"/>
    </xf>
    <xf numFmtId="3" fontId="1" fillId="0" borderId="42" xfId="28" applyNumberFormat="1" applyFont="1" applyFill="1" applyBorder="1" applyAlignment="1">
      <alignment horizontal="right" indent="1"/>
    </xf>
    <xf numFmtId="178" fontId="27" fillId="0" borderId="44" xfId="0" applyFont="1" applyBorder="1" applyAlignment="1">
      <alignment horizontal="left" indent="1"/>
    </xf>
    <xf numFmtId="3" fontId="1" fillId="0" borderId="44" xfId="28" applyNumberFormat="1" applyFont="1" applyFill="1" applyBorder="1" applyAlignment="1">
      <alignment horizontal="right" indent="1"/>
    </xf>
    <xf numFmtId="178" fontId="57" fillId="0" borderId="48" xfId="0" applyFont="1" applyBorder="1" applyAlignment="1">
      <alignment horizontal="left" indent="1"/>
    </xf>
    <xf numFmtId="3" fontId="26" fillId="0" borderId="48" xfId="28" applyNumberFormat="1" applyFont="1" applyFill="1" applyBorder="1" applyAlignment="1">
      <alignment horizontal="right" indent="1"/>
    </xf>
    <xf numFmtId="178" fontId="28" fillId="0" borderId="0" xfId="42" applyNumberFormat="1" applyFont="1" applyAlignment="1">
      <alignment horizontal="left"/>
    </xf>
    <xf numFmtId="178" fontId="5" fillId="45" borderId="43" xfId="0" applyFont="1" applyFill="1" applyBorder="1"/>
    <xf numFmtId="178" fontId="5" fillId="45" borderId="42" xfId="0" applyFont="1" applyFill="1" applyBorder="1" applyAlignment="1">
      <alignment horizontal="center"/>
    </xf>
    <xf numFmtId="43" fontId="6" fillId="0" borderId="0" xfId="28" applyFont="1" applyFill="1" applyBorder="1" applyAlignment="1">
      <alignment horizontal="center"/>
    </xf>
    <xf numFmtId="181" fontId="14" fillId="0" borderId="0" xfId="47" applyNumberFormat="1" applyFont="1"/>
    <xf numFmtId="178" fontId="0" fillId="0" borderId="0" xfId="0" applyBorder="1"/>
    <xf numFmtId="178" fontId="7" fillId="0" borderId="49" xfId="0" applyFont="1" applyFill="1" applyBorder="1" applyAlignment="1"/>
    <xf numFmtId="178" fontId="30" fillId="0" borderId="0" xfId="0" applyFont="1" applyBorder="1" applyAlignment="1"/>
    <xf numFmtId="178" fontId="31" fillId="0" borderId="0" xfId="0" applyFont="1" applyBorder="1" applyAlignment="1"/>
    <xf numFmtId="178" fontId="31" fillId="0" borderId="0" xfId="0" applyFont="1" applyFill="1" applyBorder="1"/>
    <xf numFmtId="178" fontId="32" fillId="0" borderId="0" xfId="0" applyFont="1" applyBorder="1" applyAlignment="1">
      <alignment wrapText="1"/>
    </xf>
    <xf numFmtId="178" fontId="33" fillId="0" borderId="50" xfId="0" applyFont="1" applyFill="1" applyBorder="1" applyAlignment="1">
      <alignment wrapText="1"/>
    </xf>
    <xf numFmtId="178" fontId="33" fillId="0" borderId="51" xfId="0" applyFont="1" applyFill="1" applyBorder="1" applyAlignment="1">
      <alignment horizontal="center" wrapText="1"/>
    </xf>
    <xf numFmtId="0" fontId="33" fillId="0" borderId="51" xfId="28" applyNumberFormat="1" applyFont="1" applyBorder="1" applyAlignment="1">
      <alignment horizontal="center" wrapText="1"/>
    </xf>
    <xf numFmtId="181" fontId="33" fillId="0" borderId="50" xfId="0" applyNumberFormat="1" applyFont="1" applyFill="1" applyBorder="1" applyAlignment="1">
      <alignment horizontal="center" wrapText="1"/>
    </xf>
    <xf numFmtId="178" fontId="33" fillId="0" borderId="0" xfId="0" applyFont="1" applyFill="1" applyBorder="1" applyAlignment="1">
      <alignment horizontal="left"/>
    </xf>
    <xf numFmtId="183" fontId="34" fillId="0" borderId="51" xfId="28" applyNumberFormat="1" applyFont="1" applyFill="1" applyBorder="1" applyAlignment="1">
      <alignment horizontal="center"/>
    </xf>
    <xf numFmtId="183" fontId="34" fillId="0" borderId="51" xfId="28" applyNumberFormat="1" applyFont="1" applyFill="1" applyBorder="1"/>
    <xf numFmtId="183" fontId="34" fillId="0" borderId="51" xfId="28" applyNumberFormat="1" applyFont="1" applyBorder="1"/>
    <xf numFmtId="183" fontId="34" fillId="0" borderId="51" xfId="28" applyNumberFormat="1" applyFont="1" applyBorder="1" applyAlignment="1">
      <alignment horizontal="right"/>
    </xf>
    <xf numFmtId="183" fontId="34" fillId="0" borderId="51" xfId="28" applyNumberFormat="1" applyFont="1" applyFill="1" applyBorder="1" applyAlignment="1">
      <alignment horizontal="right"/>
    </xf>
    <xf numFmtId="183" fontId="34" fillId="0" borderId="0" xfId="28" applyNumberFormat="1" applyFont="1" applyFill="1" applyBorder="1" applyAlignment="1">
      <alignment horizontal="center"/>
    </xf>
    <xf numFmtId="183" fontId="34" fillId="0" borderId="0" xfId="28" applyNumberFormat="1" applyFont="1" applyFill="1" applyBorder="1"/>
    <xf numFmtId="183" fontId="34" fillId="0" borderId="0" xfId="28" applyNumberFormat="1" applyFont="1" applyBorder="1"/>
    <xf numFmtId="183" fontId="34" fillId="0" borderId="0" xfId="28" applyNumberFormat="1" applyFont="1" applyBorder="1" applyAlignment="1">
      <alignment horizontal="right"/>
    </xf>
    <xf numFmtId="183" fontId="34" fillId="0" borderId="0" xfId="28" applyNumberFormat="1" applyFont="1" applyFill="1" applyBorder="1" applyAlignment="1">
      <alignment horizontal="right"/>
    </xf>
    <xf numFmtId="181" fontId="34" fillId="0" borderId="0" xfId="47" applyNumberFormat="1" applyFont="1" applyFill="1" applyBorder="1" applyAlignment="1">
      <alignment horizontal="right"/>
    </xf>
    <xf numFmtId="178" fontId="33" fillId="10" borderId="0" xfId="0" applyFont="1" applyFill="1" applyBorder="1" applyAlignment="1">
      <alignment horizontal="left"/>
    </xf>
    <xf numFmtId="183" fontId="35" fillId="10" borderId="0" xfId="28" applyNumberFormat="1" applyFont="1" applyFill="1" applyBorder="1" applyAlignment="1">
      <alignment horizontal="center"/>
    </xf>
    <xf numFmtId="181" fontId="35" fillId="10" borderId="0" xfId="47" applyNumberFormat="1" applyFont="1" applyFill="1" applyBorder="1" applyAlignment="1">
      <alignment horizontal="right"/>
    </xf>
    <xf numFmtId="181" fontId="35" fillId="10" borderId="0" xfId="47" applyNumberFormat="1" applyFont="1" applyFill="1" applyBorder="1" applyAlignment="1">
      <alignment horizontal="center"/>
    </xf>
    <xf numFmtId="178" fontId="33" fillId="11" borderId="46" xfId="0" applyFont="1" applyFill="1" applyBorder="1"/>
    <xf numFmtId="183" fontId="35" fillId="11" borderId="46" xfId="28" applyNumberFormat="1" applyFont="1" applyFill="1" applyBorder="1" applyAlignment="1">
      <alignment horizontal="center"/>
    </xf>
    <xf numFmtId="181" fontId="35" fillId="11" borderId="46" xfId="47" applyNumberFormat="1" applyFont="1" applyFill="1" applyBorder="1" applyAlignment="1">
      <alignment horizontal="center"/>
    </xf>
    <xf numFmtId="178" fontId="29" fillId="0" borderId="49" xfId="0" applyFont="1" applyFill="1" applyBorder="1" applyAlignment="1"/>
    <xf numFmtId="181" fontId="34" fillId="0" borderId="51" xfId="47" applyNumberFormat="1" applyFont="1" applyFill="1" applyBorder="1"/>
    <xf numFmtId="181" fontId="34" fillId="0" borderId="0" xfId="47" applyNumberFormat="1" applyFont="1" applyFill="1" applyBorder="1"/>
    <xf numFmtId="182" fontId="34" fillId="0" borderId="51" xfId="28" applyNumberFormat="1" applyFont="1" applyBorder="1"/>
    <xf numFmtId="182" fontId="34" fillId="0" borderId="51" xfId="28" applyNumberFormat="1" applyFont="1" applyFill="1" applyBorder="1"/>
    <xf numFmtId="182" fontId="34" fillId="0" borderId="51" xfId="28" applyNumberFormat="1" applyFont="1" applyBorder="1" applyAlignment="1">
      <alignment horizontal="right"/>
    </xf>
    <xf numFmtId="182" fontId="34" fillId="0" borderId="0" xfId="28" applyNumberFormat="1" applyFont="1" applyBorder="1"/>
    <xf numFmtId="182" fontId="34" fillId="0" borderId="0" xfId="28" applyNumberFormat="1" applyFont="1" applyFill="1" applyBorder="1"/>
    <xf numFmtId="182" fontId="34" fillId="0" borderId="0" xfId="28" applyNumberFormat="1" applyFont="1" applyBorder="1" applyAlignment="1">
      <alignment horizontal="right"/>
    </xf>
    <xf numFmtId="182" fontId="35" fillId="10" borderId="0" xfId="28" applyNumberFormat="1" applyFont="1" applyFill="1" applyBorder="1" applyAlignment="1">
      <alignment horizontal="center"/>
    </xf>
    <xf numFmtId="43" fontId="6" fillId="0" borderId="0" xfId="28" applyFont="1" applyFill="1" applyBorder="1"/>
    <xf numFmtId="182" fontId="35" fillId="11" borderId="46" xfId="28" applyNumberFormat="1" applyFont="1" applyFill="1" applyBorder="1" applyAlignment="1">
      <alignment horizontal="center"/>
    </xf>
    <xf numFmtId="178" fontId="27" fillId="0" borderId="0" xfId="0" applyFont="1" applyBorder="1"/>
    <xf numFmtId="178" fontId="37" fillId="0" borderId="0" xfId="0" applyFont="1" applyFill="1" applyBorder="1" applyAlignment="1">
      <alignment horizontal="center"/>
    </xf>
    <xf numFmtId="178" fontId="37" fillId="0" borderId="0" xfId="0" applyFont="1" applyFill="1" applyBorder="1" applyAlignment="1"/>
    <xf numFmtId="178" fontId="36" fillId="0" borderId="0" xfId="0" applyFont="1" applyFill="1" applyBorder="1" applyAlignment="1">
      <alignment horizontal="left"/>
    </xf>
    <xf numFmtId="178" fontId="37" fillId="0" borderId="0" xfId="0" applyFont="1" applyFill="1" applyBorder="1"/>
    <xf numFmtId="178" fontId="0" fillId="0" borderId="0" xfId="0" applyBorder="1" applyAlignment="1">
      <alignment wrapText="1"/>
    </xf>
    <xf numFmtId="178" fontId="6" fillId="0" borderId="0" xfId="0" applyFont="1" applyFill="1" applyBorder="1" applyAlignment="1">
      <alignment wrapText="1"/>
    </xf>
    <xf numFmtId="178" fontId="5" fillId="0" borderId="0" xfId="0" applyFont="1" applyFill="1" applyBorder="1" applyAlignment="1">
      <alignment horizontal="left" wrapText="1"/>
    </xf>
    <xf numFmtId="183" fontId="34" fillId="0" borderId="0" xfId="28" applyNumberFormat="1" applyFont="1" applyFill="1" applyBorder="1" applyAlignment="1">
      <alignment horizontal="left"/>
    </xf>
    <xf numFmtId="183" fontId="35" fillId="0" borderId="0" xfId="28" applyNumberFormat="1" applyFont="1" applyFill="1" applyBorder="1" applyAlignment="1">
      <alignment horizontal="left"/>
    </xf>
    <xf numFmtId="183" fontId="35" fillId="6" borderId="52" xfId="28" applyNumberFormat="1" applyFont="1" applyFill="1" applyBorder="1" applyAlignment="1">
      <alignment horizontal="left"/>
    </xf>
    <xf numFmtId="183" fontId="34" fillId="0" borderId="53" xfId="28" applyNumberFormat="1" applyFont="1" applyFill="1" applyBorder="1" applyAlignment="1">
      <alignment horizontal="left"/>
    </xf>
    <xf numFmtId="183" fontId="35" fillId="6" borderId="0" xfId="28" applyNumberFormat="1" applyFont="1" applyFill="1" applyBorder="1" applyAlignment="1">
      <alignment horizontal="left"/>
    </xf>
    <xf numFmtId="183" fontId="35" fillId="10" borderId="0" xfId="28" applyNumberFormat="1" applyFont="1" applyFill="1" applyBorder="1" applyAlignment="1">
      <alignment horizontal="left"/>
    </xf>
    <xf numFmtId="183" fontId="35" fillId="10" borderId="52" xfId="28" applyNumberFormat="1" applyFont="1" applyFill="1" applyBorder="1" applyAlignment="1">
      <alignment horizontal="left"/>
    </xf>
    <xf numFmtId="183" fontId="35" fillId="10" borderId="53" xfId="28" applyNumberFormat="1" applyFont="1" applyFill="1" applyBorder="1" applyAlignment="1">
      <alignment horizontal="left"/>
    </xf>
    <xf numFmtId="178" fontId="33" fillId="11" borderId="46" xfId="0" applyFont="1" applyFill="1" applyBorder="1" applyAlignment="1">
      <alignment horizontal="left"/>
    </xf>
    <xf numFmtId="183" fontId="35" fillId="11" borderId="46" xfId="28" applyNumberFormat="1" applyFont="1" applyFill="1" applyBorder="1" applyAlignment="1">
      <alignment horizontal="left"/>
    </xf>
    <xf numFmtId="183" fontId="35" fillId="12" borderId="54" xfId="28" applyNumberFormat="1" applyFont="1" applyFill="1" applyBorder="1" applyAlignment="1">
      <alignment horizontal="left"/>
    </xf>
    <xf numFmtId="183" fontId="35" fillId="11" borderId="55" xfId="28" applyNumberFormat="1" applyFont="1" applyFill="1" applyBorder="1" applyAlignment="1">
      <alignment horizontal="left"/>
    </xf>
    <xf numFmtId="183" fontId="35" fillId="12" borderId="46" xfId="28" applyNumberFormat="1" applyFont="1" applyFill="1" applyBorder="1" applyAlignment="1">
      <alignment horizontal="left"/>
    </xf>
    <xf numFmtId="178" fontId="33" fillId="0" borderId="51" xfId="0" applyFont="1" applyFill="1" applyBorder="1" applyAlignment="1">
      <alignment horizontal="left" wrapText="1"/>
    </xf>
    <xf numFmtId="178" fontId="33" fillId="6" borderId="56" xfId="0" applyFont="1" applyFill="1" applyBorder="1" applyAlignment="1">
      <alignment horizontal="center" wrapText="1"/>
    </xf>
    <xf numFmtId="178" fontId="33" fillId="0" borderId="57" xfId="0" applyFont="1" applyFill="1" applyBorder="1" applyAlignment="1">
      <alignment horizontal="center" wrapText="1"/>
    </xf>
    <xf numFmtId="178" fontId="33" fillId="6" borderId="51" xfId="0" applyFont="1" applyFill="1" applyBorder="1" applyAlignment="1">
      <alignment horizontal="center" wrapText="1"/>
    </xf>
    <xf numFmtId="181" fontId="35" fillId="11" borderId="46" xfId="47" applyNumberFormat="1" applyFont="1" applyFill="1" applyBorder="1" applyAlignment="1">
      <alignment horizontal="right"/>
    </xf>
    <xf numFmtId="0" fontId="40" fillId="0" borderId="0" xfId="44"/>
    <xf numFmtId="183" fontId="16" fillId="0" borderId="0" xfId="29" applyNumberFormat="1" applyFont="1" applyFill="1" applyBorder="1"/>
    <xf numFmtId="178" fontId="16" fillId="0" borderId="1" xfId="43" applyNumberFormat="1" applyFont="1" applyBorder="1" applyProtection="1"/>
    <xf numFmtId="183" fontId="16" fillId="0" borderId="1" xfId="29" applyNumberFormat="1" applyFont="1" applyFill="1" applyBorder="1" applyProtection="1"/>
    <xf numFmtId="43" fontId="0" fillId="0" borderId="0" xfId="28" applyFont="1" applyBorder="1"/>
    <xf numFmtId="178" fontId="25" fillId="46" borderId="42" xfId="0" applyFont="1" applyFill="1" applyBorder="1" applyAlignment="1">
      <alignment horizontal="center"/>
    </xf>
    <xf numFmtId="0" fontId="26" fillId="0" borderId="40" xfId="0" applyNumberFormat="1" applyFont="1" applyFill="1" applyBorder="1" applyAlignment="1">
      <alignment horizontal="center" wrapText="1"/>
    </xf>
    <xf numFmtId="178" fontId="0" fillId="47" borderId="0" xfId="0" applyFill="1"/>
    <xf numFmtId="178" fontId="0" fillId="47" borderId="0" xfId="0" applyFill="1" applyAlignment="1">
      <alignment horizontal="center"/>
    </xf>
    <xf numFmtId="178" fontId="0" fillId="48" borderId="0" xfId="0" applyFill="1"/>
    <xf numFmtId="178" fontId="3" fillId="48" borderId="0" xfId="0" applyFont="1" applyFill="1"/>
    <xf numFmtId="178" fontId="3" fillId="49" borderId="0" xfId="0" applyFont="1" applyFill="1"/>
    <xf numFmtId="178" fontId="0" fillId="47" borderId="0" xfId="0" applyFill="1" applyAlignment="1">
      <alignment horizontal="left"/>
    </xf>
    <xf numFmtId="17" fontId="3" fillId="0" borderId="0" xfId="0" applyNumberFormat="1" applyFont="1"/>
    <xf numFmtId="178" fontId="11" fillId="10" borderId="3" xfId="42" applyNumberFormat="1" applyFont="1" applyFill="1" applyBorder="1" applyAlignment="1">
      <alignment horizontal="center"/>
    </xf>
    <xf numFmtId="178" fontId="11" fillId="10" borderId="38" xfId="42" applyNumberFormat="1" applyFont="1" applyFill="1" applyBorder="1" applyAlignment="1">
      <alignment horizontal="center"/>
    </xf>
    <xf numFmtId="178" fontId="11" fillId="10" borderId="39" xfId="42" applyNumberFormat="1" applyFont="1" applyFill="1" applyBorder="1" applyAlignment="1">
      <alignment horizontal="center"/>
    </xf>
    <xf numFmtId="178" fontId="13" fillId="5" borderId="3" xfId="42" applyNumberFormat="1" applyFont="1" applyFill="1" applyBorder="1" applyAlignment="1" applyProtection="1">
      <alignment horizontal="left"/>
    </xf>
    <xf numFmtId="178" fontId="13" fillId="5" borderId="38" xfId="42" applyNumberFormat="1" applyFont="1" applyFill="1" applyBorder="1" applyAlignment="1" applyProtection="1">
      <alignment horizontal="left"/>
    </xf>
    <xf numFmtId="178" fontId="13" fillId="5" borderId="39" xfId="42" applyNumberFormat="1" applyFont="1" applyFill="1" applyBorder="1" applyAlignment="1" applyProtection="1">
      <alignment horizontal="left"/>
    </xf>
    <xf numFmtId="178" fontId="15" fillId="8" borderId="32" xfId="42" applyNumberFormat="1" applyFont="1" applyFill="1" applyBorder="1" applyAlignment="1" applyProtection="1">
      <alignment horizontal="left"/>
    </xf>
    <xf numFmtId="178" fontId="15" fillId="8" borderId="58" xfId="42" applyNumberFormat="1" applyFont="1" applyFill="1" applyBorder="1" applyAlignment="1" applyProtection="1">
      <alignment horizontal="left"/>
    </xf>
    <xf numFmtId="178" fontId="15" fillId="8" borderId="59" xfId="42" applyNumberFormat="1" applyFont="1" applyFill="1" applyBorder="1" applyAlignment="1" applyProtection="1">
      <alignment horizontal="left"/>
    </xf>
    <xf numFmtId="178" fontId="29" fillId="0" borderId="49" xfId="0" applyFont="1" applyFill="1" applyBorder="1" applyAlignment="1">
      <alignment horizontal="left"/>
    </xf>
    <xf numFmtId="178" fontId="36" fillId="4" borderId="51" xfId="0" applyFont="1" applyFill="1" applyBorder="1" applyAlignment="1">
      <alignment horizontal="center"/>
    </xf>
    <xf numFmtId="178" fontId="36" fillId="4" borderId="56" xfId="0" applyFont="1" applyFill="1" applyBorder="1" applyAlignment="1">
      <alignment horizontal="center"/>
    </xf>
    <xf numFmtId="178" fontId="36" fillId="13" borderId="57" xfId="0" applyFont="1" applyFill="1" applyBorder="1" applyAlignment="1">
      <alignment horizontal="center"/>
    </xf>
    <xf numFmtId="178" fontId="36" fillId="13" borderId="51" xfId="0" applyFont="1" applyFill="1" applyBorder="1" applyAlignment="1">
      <alignment horizontal="center"/>
    </xf>
    <xf numFmtId="178" fontId="36" fillId="13" borderId="56" xfId="0" applyFont="1" applyFill="1" applyBorder="1" applyAlignment="1">
      <alignment horizontal="center"/>
    </xf>
    <xf numFmtId="178" fontId="36" fillId="7" borderId="51" xfId="0" applyFont="1" applyFill="1" applyBorder="1" applyAlignment="1">
      <alignment horizontal="center"/>
    </xf>
    <xf numFmtId="178" fontId="5" fillId="50" borderId="0" xfId="0" applyFont="1" applyFill="1" applyAlignment="1">
      <alignment horizontal="center"/>
    </xf>
    <xf numFmtId="178" fontId="23" fillId="0" borderId="0" xfId="0" applyFont="1" applyAlignment="1">
      <alignment horizontal="center"/>
    </xf>
    <xf numFmtId="178" fontId="5" fillId="0" borderId="0" xfId="0" applyFont="1" applyFill="1" applyBorder="1" applyAlignment="1">
      <alignment horizontal="left"/>
    </xf>
    <xf numFmtId="178" fontId="9" fillId="0" borderId="41" xfId="0" applyFont="1" applyBorder="1" applyAlignment="1">
      <alignment horizontal="center" vertical="center" textRotation="42"/>
    </xf>
    <xf numFmtId="178" fontId="9" fillId="0" borderId="42" xfId="0" applyFont="1" applyBorder="1" applyAlignment="1">
      <alignment horizontal="center" vertical="center" textRotation="42"/>
    </xf>
    <xf numFmtId="178" fontId="9" fillId="0" borderId="44" xfId="0" applyFont="1" applyBorder="1" applyAlignment="1">
      <alignment horizontal="center" vertical="center" textRotation="42"/>
    </xf>
    <xf numFmtId="178" fontId="9" fillId="0" borderId="0" xfId="0" applyFont="1" applyAlignment="1">
      <alignment horizontal="center"/>
    </xf>
    <xf numFmtId="178" fontId="25" fillId="46" borderId="41" xfId="0" applyFont="1" applyFill="1" applyBorder="1" applyAlignment="1">
      <alignment horizontal="center"/>
    </xf>
    <xf numFmtId="178" fontId="25" fillId="46" borderId="44" xfId="0" applyFont="1" applyFill="1" applyBorder="1" applyAlignment="1">
      <alignment horizontal="center"/>
    </xf>
    <xf numFmtId="0" fontId="26" fillId="0" borderId="3" xfId="0" applyNumberFormat="1" applyFont="1" applyFill="1" applyBorder="1" applyAlignment="1">
      <alignment horizontal="center" wrapText="1"/>
    </xf>
    <xf numFmtId="0" fontId="26" fillId="0" borderId="39" xfId="0" applyNumberFormat="1" applyFont="1" applyFill="1" applyBorder="1" applyAlignment="1">
      <alignment horizontal="center" wrapText="1"/>
    </xf>
    <xf numFmtId="0" fontId="26" fillId="51" borderId="45" xfId="0" applyNumberFormat="1" applyFont="1" applyFill="1" applyBorder="1" applyAlignment="1">
      <alignment horizontal="center"/>
    </xf>
    <xf numFmtId="0" fontId="26" fillId="51" borderId="46" xfId="0" applyNumberFormat="1" applyFont="1" applyFill="1" applyBorder="1" applyAlignment="1">
      <alignment horizontal="center"/>
    </xf>
    <xf numFmtId="178" fontId="3" fillId="0" borderId="0" xfId="0" applyFont="1" applyAlignment="1">
      <alignment horizont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stom - Style1" xfId="30"/>
    <cellStyle name="Data   - Style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abels - Style3" xfId="39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2 2" xfId="43"/>
    <cellStyle name="Normal 3" xfId="44"/>
    <cellStyle name="Note 2" xfId="45"/>
    <cellStyle name="Output" xfId="46" builtinId="21" customBuiltin="1"/>
    <cellStyle name="Percent" xfId="47" builtinId="5"/>
    <cellStyle name="Percent 2" xfId="48"/>
    <cellStyle name="Reset  - Style4" xfId="49"/>
    <cellStyle name="Table  - Style5" xfId="50"/>
    <cellStyle name="Title" xfId="51" builtinId="15" customBuiltin="1"/>
    <cellStyle name="Title  - Style6" xfId="52"/>
    <cellStyle name="Total" xfId="53" builtinId="25" customBuiltin="1"/>
    <cellStyle name="TotCol - Style7" xfId="54"/>
    <cellStyle name="TotRow - Style8" xfId="55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gov-file-2\statistics$\Tourism\Monthly%20Tourism%20Data%20Files\2006\TOURISM%20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urism\Monthly%20Tourism%20Data%20Files\2015\TOURISM%20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ain%202%20-%20Economic%20Statistics\2.4%20Sectoral%20Statistics\2.4.5%20Tourism\Monthly%20Tourism%20Data%20Files\2017\TOURISM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gov-file-2\statistics$\Tourism\Monthly%20Tourism%20Data%20Files\2007\TOURISM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gov-file-2\statistics$\Tourism\Monthly%20Tourism%20Data%20Files\2008\TOURISM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gov-file-2\statistics$\Tourism\Monthly%20Tourism%20Data%20Files\2009\TOURISM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gov-file-2\statistics$\Tourism\Monthly%20Tourism%20Data%20Files\2010\TOURISM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gov-file-2\statistics$\Tourism\Monthly%20Tourism%20Data%20Files\2011\TOURISM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gov-file-2\statistics$\Tourism\Monthly%20Tourism%20Data%20Files\2012\TOURISM%20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gov-file-2\statistics$\Tourism\Monthly%20Tourism%20Data%20Files\2013\TOURISM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urism\Monthly%20Tourism%20Data%20Files\2014\TOURISM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oth europe"/>
      <sheetName val="COPY RAW DATA"/>
      <sheetName val="Sheet1"/>
    </sheetNames>
    <sheetDataSet>
      <sheetData sheetId="0">
        <row r="105">
          <cell r="F105">
            <v>14010</v>
          </cell>
        </row>
      </sheetData>
      <sheetData sheetId="1">
        <row r="19">
          <cell r="O19">
            <v>16542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Passenger Movement"/>
      <sheetName val="Sheet1"/>
      <sheetName val="Other Europe - Tourists"/>
    </sheetNames>
    <sheetDataSet>
      <sheetData sheetId="0">
        <row r="4">
          <cell r="B4">
            <v>2045</v>
          </cell>
        </row>
      </sheetData>
      <sheetData sheetId="1" refreshError="1">
        <row r="5">
          <cell r="X5">
            <v>19602</v>
          </cell>
        </row>
        <row r="26">
          <cell r="X26">
            <v>6758</v>
          </cell>
        </row>
        <row r="27">
          <cell r="X27">
            <v>7395</v>
          </cell>
        </row>
        <row r="28">
          <cell r="X28">
            <v>8683</v>
          </cell>
        </row>
        <row r="29">
          <cell r="X29">
            <v>22836</v>
          </cell>
        </row>
        <row r="30">
          <cell r="X30">
            <v>7667</v>
          </cell>
        </row>
        <row r="31">
          <cell r="X31">
            <v>5797</v>
          </cell>
        </row>
        <row r="32">
          <cell r="X32">
            <v>5055</v>
          </cell>
        </row>
        <row r="33">
          <cell r="X33">
            <v>18519</v>
          </cell>
        </row>
        <row r="34">
          <cell r="X34">
            <v>7532</v>
          </cell>
        </row>
        <row r="35">
          <cell r="X35">
            <v>5663</v>
          </cell>
        </row>
        <row r="36">
          <cell r="X36">
            <v>1564</v>
          </cell>
        </row>
        <row r="37">
          <cell r="X37">
            <v>14759</v>
          </cell>
        </row>
        <row r="38">
          <cell r="X38">
            <v>2841</v>
          </cell>
        </row>
        <row r="39">
          <cell r="X39">
            <v>5963</v>
          </cell>
        </row>
        <row r="40">
          <cell r="X40">
            <v>8314</v>
          </cell>
        </row>
        <row r="41">
          <cell r="X41">
            <v>17118</v>
          </cell>
        </row>
        <row r="42">
          <cell r="X42">
            <v>73232</v>
          </cell>
        </row>
        <row r="46">
          <cell r="X46">
            <v>12844</v>
          </cell>
        </row>
        <row r="47">
          <cell r="X47">
            <v>10716</v>
          </cell>
        </row>
        <row r="48">
          <cell r="X48">
            <v>12306</v>
          </cell>
        </row>
        <row r="49">
          <cell r="X49">
            <v>35866</v>
          </cell>
        </row>
        <row r="50">
          <cell r="X50">
            <v>11166</v>
          </cell>
        </row>
        <row r="51">
          <cell r="X51">
            <v>7709</v>
          </cell>
        </row>
        <row r="52">
          <cell r="X52">
            <v>8464</v>
          </cell>
        </row>
        <row r="53">
          <cell r="X53">
            <v>27339</v>
          </cell>
        </row>
        <row r="54">
          <cell r="X54">
            <v>10950</v>
          </cell>
        </row>
        <row r="55">
          <cell r="X55">
            <v>11656</v>
          </cell>
        </row>
        <row r="56">
          <cell r="X56">
            <v>4423</v>
          </cell>
        </row>
        <row r="57">
          <cell r="X57">
            <v>27029</v>
          </cell>
        </row>
        <row r="58">
          <cell r="X58">
            <v>4926</v>
          </cell>
        </row>
        <row r="59">
          <cell r="X59">
            <v>7964</v>
          </cell>
        </row>
        <row r="60">
          <cell r="X60">
            <v>9712</v>
          </cell>
        </row>
        <row r="61">
          <cell r="X61">
            <v>22602</v>
          </cell>
        </row>
        <row r="62">
          <cell r="X62">
            <v>112836</v>
          </cell>
        </row>
        <row r="66">
          <cell r="X66">
            <v>27558</v>
          </cell>
        </row>
        <row r="67">
          <cell r="X67">
            <v>24641</v>
          </cell>
        </row>
        <row r="68">
          <cell r="X68">
            <v>28610</v>
          </cell>
        </row>
        <row r="69">
          <cell r="X69">
            <v>80809</v>
          </cell>
        </row>
        <row r="70">
          <cell r="X70">
            <v>26993</v>
          </cell>
        </row>
        <row r="71">
          <cell r="X71">
            <v>21041</v>
          </cell>
        </row>
        <row r="72">
          <cell r="X72">
            <v>20164</v>
          </cell>
        </row>
        <row r="73">
          <cell r="X73">
            <v>68198</v>
          </cell>
        </row>
        <row r="74">
          <cell r="X74">
            <v>26183</v>
          </cell>
        </row>
        <row r="75">
          <cell r="X75">
            <v>24788</v>
          </cell>
        </row>
        <row r="76">
          <cell r="X76">
            <v>12516</v>
          </cell>
        </row>
        <row r="77">
          <cell r="X77">
            <v>63487</v>
          </cell>
        </row>
        <row r="78">
          <cell r="X78">
            <v>14156</v>
          </cell>
        </row>
        <row r="79">
          <cell r="X79">
            <v>20220</v>
          </cell>
        </row>
        <row r="80">
          <cell r="X80">
            <v>26278</v>
          </cell>
        </row>
        <row r="81">
          <cell r="X81">
            <v>60654</v>
          </cell>
        </row>
        <row r="82">
          <cell r="X82">
            <v>273148</v>
          </cell>
        </row>
        <row r="86">
          <cell r="X86">
            <v>28428</v>
          </cell>
        </row>
        <row r="87">
          <cell r="X87">
            <v>24135</v>
          </cell>
        </row>
        <row r="88">
          <cell r="X88">
            <v>28266</v>
          </cell>
        </row>
        <row r="89">
          <cell r="X89">
            <v>80829</v>
          </cell>
        </row>
        <row r="90">
          <cell r="X90">
            <v>27653</v>
          </cell>
        </row>
        <row r="91">
          <cell r="X91">
            <v>20657</v>
          </cell>
        </row>
        <row r="92">
          <cell r="X92">
            <v>20010</v>
          </cell>
        </row>
        <row r="93">
          <cell r="X93">
            <v>68320</v>
          </cell>
        </row>
        <row r="94">
          <cell r="X94">
            <v>23844</v>
          </cell>
        </row>
        <row r="95">
          <cell r="X95">
            <v>26982</v>
          </cell>
        </row>
        <row r="96">
          <cell r="X96">
            <v>12345</v>
          </cell>
        </row>
        <row r="97">
          <cell r="X97">
            <v>63171</v>
          </cell>
        </row>
        <row r="98">
          <cell r="X98">
            <v>13310</v>
          </cell>
        </row>
        <row r="99">
          <cell r="X99">
            <v>17016</v>
          </cell>
        </row>
        <row r="100">
          <cell r="X100">
            <v>24937</v>
          </cell>
        </row>
        <row r="101">
          <cell r="X101">
            <v>55263</v>
          </cell>
        </row>
        <row r="102">
          <cell r="X102">
            <v>267583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Passenger Movement"/>
    </sheetNames>
    <sheetDataSet>
      <sheetData sheetId="0"/>
      <sheetData sheetId="1">
        <row r="13">
          <cell r="Y13">
            <v>19602</v>
          </cell>
          <cell r="Z13">
            <v>17918</v>
          </cell>
          <cell r="AA13">
            <v>18114</v>
          </cell>
        </row>
        <row r="14">
          <cell r="Y14">
            <v>18111</v>
          </cell>
          <cell r="Z14">
            <v>16869</v>
          </cell>
          <cell r="AA14">
            <v>18100</v>
          </cell>
        </row>
        <row r="15">
          <cell r="Y15">
            <v>20989</v>
          </cell>
          <cell r="Z15">
            <v>19582</v>
          </cell>
          <cell r="AA15">
            <v>19912</v>
          </cell>
        </row>
        <row r="16">
          <cell r="Y16">
            <v>58702</v>
          </cell>
          <cell r="Z16">
            <v>54369</v>
          </cell>
          <cell r="AA16">
            <v>56126</v>
          </cell>
        </row>
        <row r="17">
          <cell r="Y17">
            <v>18833</v>
          </cell>
          <cell r="Z17">
            <v>15746</v>
          </cell>
          <cell r="AA17">
            <v>19618</v>
          </cell>
        </row>
        <row r="18">
          <cell r="Y18">
            <v>13506</v>
          </cell>
          <cell r="Z18">
            <v>13232</v>
          </cell>
          <cell r="AA18">
            <v>14339</v>
          </cell>
        </row>
        <row r="19">
          <cell r="Y19">
            <v>13519</v>
          </cell>
          <cell r="Z19">
            <v>13500</v>
          </cell>
          <cell r="AA19">
            <v>15845</v>
          </cell>
        </row>
        <row r="20">
          <cell r="Y20">
            <v>45858</v>
          </cell>
          <cell r="Z20">
            <v>42478</v>
          </cell>
          <cell r="AA20">
            <v>49802</v>
          </cell>
        </row>
        <row r="21">
          <cell r="Y21">
            <v>18482</v>
          </cell>
          <cell r="Z21">
            <v>18913</v>
          </cell>
          <cell r="AA21">
            <v>19092</v>
          </cell>
        </row>
        <row r="22">
          <cell r="Y22">
            <v>17319</v>
          </cell>
          <cell r="Z22">
            <v>15608</v>
          </cell>
          <cell r="AA22">
            <v>17588</v>
          </cell>
        </row>
        <row r="23">
          <cell r="Y23">
            <v>5987</v>
          </cell>
          <cell r="Z23">
            <v>5478</v>
          </cell>
          <cell r="AA23">
            <v>653</v>
          </cell>
        </row>
        <row r="24">
          <cell r="Y24">
            <v>41788</v>
          </cell>
          <cell r="Z24">
            <v>39999</v>
          </cell>
          <cell r="AA24">
            <v>37333</v>
          </cell>
        </row>
        <row r="25">
          <cell r="Y25">
            <v>7767</v>
          </cell>
          <cell r="Z25">
            <v>8635</v>
          </cell>
          <cell r="AA25">
            <v>833</v>
          </cell>
        </row>
        <row r="26">
          <cell r="Y26">
            <v>13927</v>
          </cell>
          <cell r="Z26">
            <v>12988</v>
          </cell>
          <cell r="AA26">
            <v>2352</v>
          </cell>
        </row>
        <row r="27">
          <cell r="Y27">
            <v>18026</v>
          </cell>
          <cell r="Z27">
            <v>17501</v>
          </cell>
          <cell r="AA27">
            <v>4232</v>
          </cell>
        </row>
        <row r="28">
          <cell r="Y28">
            <v>39720</v>
          </cell>
          <cell r="Z28">
            <v>39124</v>
          </cell>
          <cell r="AA28">
            <v>7417</v>
          </cell>
        </row>
        <row r="29">
          <cell r="Y29">
            <v>186068</v>
          </cell>
          <cell r="Z29">
            <v>175970</v>
          </cell>
          <cell r="AA29">
            <v>150678</v>
          </cell>
        </row>
        <row r="33">
          <cell r="Z33">
            <v>7280</v>
          </cell>
          <cell r="AA33">
            <v>7267</v>
          </cell>
        </row>
        <row r="34">
          <cell r="Z34">
            <v>7960</v>
          </cell>
          <cell r="AA34">
            <v>7934</v>
          </cell>
        </row>
        <row r="35">
          <cell r="Z35">
            <v>9743</v>
          </cell>
          <cell r="AA35">
            <v>9244</v>
          </cell>
        </row>
        <row r="36">
          <cell r="Z36">
            <v>24983</v>
          </cell>
          <cell r="AA36">
            <v>24445</v>
          </cell>
        </row>
        <row r="37">
          <cell r="Z37">
            <v>7340</v>
          </cell>
          <cell r="AA37">
            <v>9664</v>
          </cell>
        </row>
        <row r="38">
          <cell r="Z38">
            <v>6457</v>
          </cell>
          <cell r="AA38">
            <v>7100</v>
          </cell>
        </row>
        <row r="39">
          <cell r="Z39">
            <v>5588</v>
          </cell>
          <cell r="AA39">
            <v>6685</v>
          </cell>
        </row>
        <row r="40">
          <cell r="Z40">
            <v>19385</v>
          </cell>
          <cell r="AA40">
            <v>23449</v>
          </cell>
        </row>
        <row r="41">
          <cell r="Z41">
            <v>9512</v>
          </cell>
          <cell r="AA41">
            <v>8084</v>
          </cell>
        </row>
        <row r="42">
          <cell r="Z42">
            <v>5320</v>
          </cell>
          <cell r="AA42">
            <v>7428</v>
          </cell>
        </row>
        <row r="43">
          <cell r="Z43">
            <v>1710</v>
          </cell>
          <cell r="AA43">
            <v>351</v>
          </cell>
        </row>
        <row r="44">
          <cell r="Z44">
            <v>16542</v>
          </cell>
          <cell r="AA44">
            <v>15863</v>
          </cell>
        </row>
        <row r="45">
          <cell r="Z45">
            <v>3246</v>
          </cell>
          <cell r="AA45">
            <v>602</v>
          </cell>
        </row>
        <row r="46">
          <cell r="Z46">
            <v>6557</v>
          </cell>
          <cell r="AA46">
            <v>1299</v>
          </cell>
        </row>
        <row r="47">
          <cell r="Z47">
            <v>8526</v>
          </cell>
          <cell r="AA47">
            <v>2596</v>
          </cell>
        </row>
        <row r="48">
          <cell r="Z48">
            <v>18329</v>
          </cell>
          <cell r="AA48">
            <v>4497</v>
          </cell>
        </row>
        <row r="49">
          <cell r="Z49">
            <v>79239</v>
          </cell>
          <cell r="AA49">
            <v>68254</v>
          </cell>
        </row>
        <row r="53">
          <cell r="Z53">
            <v>10638</v>
          </cell>
          <cell r="AA53">
            <v>10847</v>
          </cell>
        </row>
        <row r="54">
          <cell r="Z54">
            <v>8909</v>
          </cell>
          <cell r="AA54">
            <v>10166</v>
          </cell>
        </row>
        <row r="55">
          <cell r="Z55">
            <v>9839</v>
          </cell>
          <cell r="AA55">
            <v>10668</v>
          </cell>
        </row>
        <row r="56">
          <cell r="Z56">
            <v>29386</v>
          </cell>
          <cell r="AA56">
            <v>31681</v>
          </cell>
        </row>
        <row r="57">
          <cell r="Z57">
            <v>8406</v>
          </cell>
          <cell r="AA57">
            <v>9954</v>
          </cell>
        </row>
        <row r="58">
          <cell r="Z58">
            <v>6775</v>
          </cell>
          <cell r="AA58">
            <v>7239</v>
          </cell>
        </row>
        <row r="59">
          <cell r="Z59">
            <v>7912</v>
          </cell>
          <cell r="AA59">
            <v>9160</v>
          </cell>
        </row>
        <row r="60">
          <cell r="Z60">
            <v>23093</v>
          </cell>
          <cell r="AA60">
            <v>26353</v>
          </cell>
        </row>
        <row r="61">
          <cell r="Z61">
            <v>9401</v>
          </cell>
          <cell r="AA61">
            <v>11008</v>
          </cell>
        </row>
        <row r="62">
          <cell r="Z62">
            <v>10288</v>
          </cell>
          <cell r="AA62">
            <v>10160</v>
          </cell>
        </row>
        <row r="63">
          <cell r="Z63">
            <v>3768</v>
          </cell>
          <cell r="AA63">
            <v>302</v>
          </cell>
        </row>
        <row r="64">
          <cell r="Z64">
            <v>23457</v>
          </cell>
          <cell r="AA64">
            <v>21470</v>
          </cell>
        </row>
        <row r="65">
          <cell r="Z65">
            <v>5389</v>
          </cell>
          <cell r="AA65">
            <v>231</v>
          </cell>
        </row>
        <row r="66">
          <cell r="Z66">
            <v>6431</v>
          </cell>
          <cell r="AA66">
            <v>1053</v>
          </cell>
        </row>
        <row r="67">
          <cell r="Z67">
            <v>8975</v>
          </cell>
          <cell r="AA67">
            <v>1636</v>
          </cell>
        </row>
        <row r="68">
          <cell r="Z68">
            <v>20795</v>
          </cell>
          <cell r="AA68">
            <v>2920</v>
          </cell>
        </row>
        <row r="69">
          <cell r="Z69">
            <v>96731</v>
          </cell>
          <cell r="AA69">
            <v>82424</v>
          </cell>
        </row>
        <row r="73">
          <cell r="Z73">
            <v>25036</v>
          </cell>
          <cell r="AA73">
            <v>25214</v>
          </cell>
        </row>
        <row r="74">
          <cell r="Z74">
            <v>23064</v>
          </cell>
          <cell r="AA74">
            <v>23386</v>
          </cell>
        </row>
        <row r="75">
          <cell r="Z75">
            <v>26820</v>
          </cell>
          <cell r="AA75">
            <v>26683</v>
          </cell>
        </row>
        <row r="76">
          <cell r="Z76">
            <v>74920</v>
          </cell>
          <cell r="AA76">
            <v>75283</v>
          </cell>
        </row>
        <row r="77">
          <cell r="Z77">
            <v>23367</v>
          </cell>
          <cell r="AA77">
            <v>27087</v>
          </cell>
        </row>
        <row r="78">
          <cell r="Z78">
            <v>21011</v>
          </cell>
          <cell r="AA78">
            <v>21711</v>
          </cell>
        </row>
        <row r="79">
          <cell r="Z79">
            <v>19631</v>
          </cell>
          <cell r="AA79">
            <v>22300</v>
          </cell>
        </row>
        <row r="80">
          <cell r="Z80">
            <v>64009</v>
          </cell>
          <cell r="AA80">
            <v>71098</v>
          </cell>
        </row>
        <row r="81">
          <cell r="Z81">
            <v>26994</v>
          </cell>
          <cell r="AA81">
            <v>26954</v>
          </cell>
        </row>
        <row r="82">
          <cell r="Z82">
            <v>23700</v>
          </cell>
          <cell r="AA82">
            <v>26147</v>
          </cell>
        </row>
        <row r="83">
          <cell r="Z83">
            <v>12468</v>
          </cell>
          <cell r="AA83">
            <v>2045</v>
          </cell>
        </row>
        <row r="84">
          <cell r="Z84">
            <v>63162</v>
          </cell>
          <cell r="AA84">
            <v>55146</v>
          </cell>
        </row>
        <row r="85">
          <cell r="Z85">
            <v>15670</v>
          </cell>
          <cell r="AA85">
            <v>3006</v>
          </cell>
        </row>
        <row r="86">
          <cell r="Z86">
            <v>19124</v>
          </cell>
          <cell r="AA86">
            <v>6481</v>
          </cell>
        </row>
        <row r="87">
          <cell r="Z87">
            <v>25817</v>
          </cell>
          <cell r="AA87">
            <v>10782</v>
          </cell>
        </row>
        <row r="88">
          <cell r="Z88">
            <v>60611</v>
          </cell>
          <cell r="AA88">
            <v>20269</v>
          </cell>
        </row>
        <row r="89">
          <cell r="Z89">
            <v>262702</v>
          </cell>
          <cell r="AA89">
            <v>221796</v>
          </cell>
        </row>
        <row r="93">
          <cell r="Z93">
            <v>25143</v>
          </cell>
          <cell r="AA93">
            <v>26107</v>
          </cell>
        </row>
        <row r="94">
          <cell r="Z94">
            <v>22544</v>
          </cell>
          <cell r="AA94">
            <v>23457</v>
          </cell>
        </row>
        <row r="95">
          <cell r="Z95">
            <v>26587</v>
          </cell>
          <cell r="AA95">
            <v>26969</v>
          </cell>
        </row>
        <row r="96">
          <cell r="Z96">
            <v>74274</v>
          </cell>
          <cell r="AA96">
            <v>76533</v>
          </cell>
        </row>
        <row r="97">
          <cell r="Z97">
            <v>24356</v>
          </cell>
          <cell r="AA97">
            <v>27869</v>
          </cell>
        </row>
        <row r="98">
          <cell r="Z98">
            <v>20204</v>
          </cell>
          <cell r="AA98">
            <v>20674</v>
          </cell>
        </row>
        <row r="99">
          <cell r="Z99">
            <v>19327</v>
          </cell>
          <cell r="AA99">
            <v>22165</v>
          </cell>
        </row>
        <row r="100">
          <cell r="Z100">
            <v>63887</v>
          </cell>
          <cell r="AA100">
            <v>70708</v>
          </cell>
        </row>
        <row r="101">
          <cell r="Z101">
            <v>22814</v>
          </cell>
          <cell r="AA101">
            <v>26307</v>
          </cell>
        </row>
        <row r="102">
          <cell r="Z102">
            <v>27577</v>
          </cell>
          <cell r="AA102">
            <v>29615</v>
          </cell>
        </row>
        <row r="103">
          <cell r="Z103">
            <v>12294</v>
          </cell>
          <cell r="AA103">
            <v>2382</v>
          </cell>
        </row>
        <row r="104">
          <cell r="Z104">
            <v>62685</v>
          </cell>
          <cell r="AA104">
            <v>58304</v>
          </cell>
        </row>
        <row r="105">
          <cell r="Z105">
            <v>14632</v>
          </cell>
          <cell r="AA105">
            <v>2840</v>
          </cell>
        </row>
        <row r="106">
          <cell r="Z106">
            <v>18434</v>
          </cell>
          <cell r="AA106">
            <v>6163</v>
          </cell>
        </row>
        <row r="107">
          <cell r="Z107">
            <v>24265</v>
          </cell>
          <cell r="AA107">
            <v>10666</v>
          </cell>
        </row>
        <row r="108">
          <cell r="Z108">
            <v>57331</v>
          </cell>
          <cell r="AA108">
            <v>19669</v>
          </cell>
        </row>
        <row r="109">
          <cell r="Z109">
            <v>258177</v>
          </cell>
          <cell r="AA109">
            <v>225214</v>
          </cell>
        </row>
        <row r="173">
          <cell r="C173">
            <v>9395</v>
          </cell>
          <cell r="D173">
            <v>1531</v>
          </cell>
          <cell r="E173">
            <v>541</v>
          </cell>
          <cell r="F173">
            <v>679</v>
          </cell>
          <cell r="G173">
            <v>259</v>
          </cell>
          <cell r="H173">
            <v>2489</v>
          </cell>
          <cell r="I173">
            <v>743</v>
          </cell>
          <cell r="J173">
            <v>641</v>
          </cell>
          <cell r="K173">
            <v>729</v>
          </cell>
          <cell r="L173">
            <v>1107</v>
          </cell>
          <cell r="M173">
            <v>18114</v>
          </cell>
        </row>
        <row r="174">
          <cell r="C174">
            <v>10493</v>
          </cell>
          <cell r="D174">
            <v>1332</v>
          </cell>
          <cell r="E174">
            <v>641</v>
          </cell>
          <cell r="F174">
            <v>284</v>
          </cell>
          <cell r="G174">
            <v>170</v>
          </cell>
          <cell r="H174">
            <v>2319</v>
          </cell>
          <cell r="I174">
            <v>725</v>
          </cell>
          <cell r="J174">
            <v>560</v>
          </cell>
          <cell r="K174">
            <v>625</v>
          </cell>
          <cell r="L174">
            <v>951</v>
          </cell>
          <cell r="M174">
            <v>18100</v>
          </cell>
        </row>
        <row r="175">
          <cell r="C175">
            <v>11807</v>
          </cell>
          <cell r="D175">
            <v>1602</v>
          </cell>
          <cell r="E175">
            <v>860</v>
          </cell>
          <cell r="F175">
            <v>284</v>
          </cell>
          <cell r="G175">
            <v>416</v>
          </cell>
          <cell r="H175">
            <v>2367</v>
          </cell>
          <cell r="I175">
            <v>559</v>
          </cell>
          <cell r="J175">
            <v>620</v>
          </cell>
          <cell r="K175">
            <v>622</v>
          </cell>
          <cell r="L175">
            <v>775</v>
          </cell>
          <cell r="M175">
            <v>19912</v>
          </cell>
        </row>
        <row r="176">
          <cell r="C176">
            <v>31695</v>
          </cell>
          <cell r="D176">
            <v>4465</v>
          </cell>
          <cell r="E176">
            <v>2042</v>
          </cell>
          <cell r="F176">
            <v>1247</v>
          </cell>
          <cell r="G176">
            <v>845</v>
          </cell>
          <cell r="H176">
            <v>7175</v>
          </cell>
          <cell r="I176">
            <v>2027</v>
          </cell>
          <cell r="J176">
            <v>1821</v>
          </cell>
          <cell r="K176">
            <v>1976</v>
          </cell>
          <cell r="L176">
            <v>2833</v>
          </cell>
          <cell r="M176">
            <v>56126</v>
          </cell>
        </row>
        <row r="177">
          <cell r="C177">
            <v>11921</v>
          </cell>
          <cell r="D177">
            <v>1019</v>
          </cell>
          <cell r="E177">
            <v>742</v>
          </cell>
          <cell r="F177">
            <v>188</v>
          </cell>
          <cell r="G177">
            <v>159</v>
          </cell>
          <cell r="H177">
            <v>2100</v>
          </cell>
          <cell r="I177">
            <v>816</v>
          </cell>
          <cell r="J177">
            <v>881</v>
          </cell>
          <cell r="K177">
            <v>939</v>
          </cell>
          <cell r="L177">
            <v>853</v>
          </cell>
          <cell r="M177">
            <v>19618</v>
          </cell>
        </row>
        <row r="178">
          <cell r="C178">
            <v>9004</v>
          </cell>
          <cell r="D178">
            <v>620</v>
          </cell>
          <cell r="E178">
            <v>440</v>
          </cell>
          <cell r="F178">
            <v>71</v>
          </cell>
          <cell r="G178">
            <v>63</v>
          </cell>
          <cell r="H178">
            <v>1211</v>
          </cell>
          <cell r="I178">
            <v>623</v>
          </cell>
          <cell r="J178">
            <v>851</v>
          </cell>
          <cell r="K178">
            <v>795</v>
          </cell>
          <cell r="L178">
            <v>661</v>
          </cell>
          <cell r="M178">
            <v>14339</v>
          </cell>
        </row>
        <row r="179">
          <cell r="C179">
            <v>11320</v>
          </cell>
          <cell r="D179">
            <v>509</v>
          </cell>
          <cell r="E179">
            <v>377</v>
          </cell>
          <cell r="F179">
            <v>74</v>
          </cell>
          <cell r="G179">
            <v>60</v>
          </cell>
          <cell r="H179">
            <v>1005</v>
          </cell>
          <cell r="I179">
            <v>626</v>
          </cell>
          <cell r="J179">
            <v>626</v>
          </cell>
          <cell r="K179">
            <v>647</v>
          </cell>
          <cell r="L179">
            <v>601</v>
          </cell>
          <cell r="M179">
            <v>15845</v>
          </cell>
        </row>
        <row r="180">
          <cell r="C180">
            <v>32245</v>
          </cell>
          <cell r="D180">
            <v>2148</v>
          </cell>
          <cell r="E180">
            <v>1559</v>
          </cell>
          <cell r="F180">
            <v>333</v>
          </cell>
          <cell r="G180">
            <v>282</v>
          </cell>
          <cell r="H180">
            <v>4316</v>
          </cell>
          <cell r="I180">
            <v>2065</v>
          </cell>
          <cell r="J180">
            <v>2358</v>
          </cell>
          <cell r="K180">
            <v>2381</v>
          </cell>
          <cell r="L180">
            <v>2115</v>
          </cell>
          <cell r="M180">
            <v>49802</v>
          </cell>
        </row>
        <row r="181">
          <cell r="C181">
            <v>12241</v>
          </cell>
          <cell r="D181">
            <v>653</v>
          </cell>
          <cell r="E181">
            <v>564</v>
          </cell>
          <cell r="F181">
            <v>133</v>
          </cell>
          <cell r="G181">
            <v>47</v>
          </cell>
          <cell r="H181">
            <v>1523</v>
          </cell>
          <cell r="I181">
            <v>873</v>
          </cell>
          <cell r="J181">
            <v>883</v>
          </cell>
          <cell r="K181">
            <v>1339</v>
          </cell>
          <cell r="L181">
            <v>836</v>
          </cell>
          <cell r="M181">
            <v>19092</v>
          </cell>
        </row>
        <row r="182">
          <cell r="C182">
            <v>9267</v>
          </cell>
          <cell r="D182">
            <v>535</v>
          </cell>
          <cell r="E182">
            <v>447</v>
          </cell>
          <cell r="F182">
            <v>496</v>
          </cell>
          <cell r="G182">
            <v>86</v>
          </cell>
          <cell r="H182">
            <v>2087</v>
          </cell>
          <cell r="I182">
            <v>1470</v>
          </cell>
          <cell r="J182">
            <v>1246</v>
          </cell>
          <cell r="K182">
            <v>1283</v>
          </cell>
          <cell r="L182">
            <v>671</v>
          </cell>
          <cell r="M182">
            <v>17588</v>
          </cell>
        </row>
        <row r="183">
          <cell r="C183">
            <v>229</v>
          </cell>
          <cell r="D183">
            <v>32</v>
          </cell>
          <cell r="E183">
            <v>52</v>
          </cell>
          <cell r="F183">
            <v>6</v>
          </cell>
          <cell r="G183">
            <v>3</v>
          </cell>
          <cell r="H183">
            <v>52</v>
          </cell>
          <cell r="I183">
            <v>29</v>
          </cell>
          <cell r="J183">
            <v>56</v>
          </cell>
          <cell r="K183">
            <v>146</v>
          </cell>
          <cell r="L183">
            <v>48</v>
          </cell>
          <cell r="M183">
            <v>653</v>
          </cell>
        </row>
        <row r="184">
          <cell r="C184">
            <v>21737</v>
          </cell>
          <cell r="D184">
            <v>1220</v>
          </cell>
          <cell r="E184">
            <v>1063</v>
          </cell>
          <cell r="F184">
            <v>635</v>
          </cell>
          <cell r="G184">
            <v>136</v>
          </cell>
          <cell r="H184">
            <v>3662</v>
          </cell>
          <cell r="I184">
            <v>2372</v>
          </cell>
          <cell r="J184">
            <v>2185</v>
          </cell>
          <cell r="K184">
            <v>2768</v>
          </cell>
          <cell r="L184">
            <v>1555</v>
          </cell>
          <cell r="M184">
            <v>37333</v>
          </cell>
        </row>
        <row r="185">
          <cell r="C185">
            <v>242</v>
          </cell>
          <cell r="D185">
            <v>18</v>
          </cell>
          <cell r="E185">
            <v>81</v>
          </cell>
          <cell r="F185">
            <v>1</v>
          </cell>
          <cell r="G185">
            <v>1</v>
          </cell>
          <cell r="H185">
            <v>75</v>
          </cell>
          <cell r="I185">
            <v>36</v>
          </cell>
          <cell r="J185">
            <v>120</v>
          </cell>
          <cell r="K185">
            <v>209</v>
          </cell>
          <cell r="L185">
            <v>50</v>
          </cell>
          <cell r="M185">
            <v>833</v>
          </cell>
        </row>
        <row r="186">
          <cell r="C186">
            <v>724</v>
          </cell>
          <cell r="D186">
            <v>104</v>
          </cell>
          <cell r="E186">
            <v>183</v>
          </cell>
          <cell r="F186">
            <v>11</v>
          </cell>
          <cell r="G186">
            <v>12</v>
          </cell>
          <cell r="H186">
            <v>160</v>
          </cell>
          <cell r="I186">
            <v>274</v>
          </cell>
          <cell r="J186">
            <v>350</v>
          </cell>
          <cell r="K186">
            <v>410</v>
          </cell>
          <cell r="L186">
            <v>124</v>
          </cell>
          <cell r="M186">
            <v>2352</v>
          </cell>
        </row>
        <row r="187">
          <cell r="C187">
            <v>1667</v>
          </cell>
          <cell r="D187">
            <v>119</v>
          </cell>
          <cell r="E187">
            <v>243</v>
          </cell>
          <cell r="F187">
            <v>54</v>
          </cell>
          <cell r="G187">
            <v>33</v>
          </cell>
          <cell r="H187">
            <v>457</v>
          </cell>
          <cell r="I187">
            <v>427</v>
          </cell>
          <cell r="J187">
            <v>529</v>
          </cell>
          <cell r="K187">
            <v>483</v>
          </cell>
          <cell r="L187">
            <v>220</v>
          </cell>
          <cell r="M187">
            <v>4232</v>
          </cell>
        </row>
        <row r="188">
          <cell r="C188">
            <v>2633</v>
          </cell>
          <cell r="D188">
            <v>241</v>
          </cell>
          <cell r="E188">
            <v>507</v>
          </cell>
          <cell r="F188">
            <v>66</v>
          </cell>
          <cell r="G188">
            <v>46</v>
          </cell>
          <cell r="H188">
            <v>692</v>
          </cell>
          <cell r="I188">
            <v>737</v>
          </cell>
          <cell r="J188">
            <v>999</v>
          </cell>
          <cell r="K188">
            <v>1102</v>
          </cell>
          <cell r="L188">
            <v>394</v>
          </cell>
          <cell r="M188">
            <v>7417</v>
          </cell>
        </row>
        <row r="189">
          <cell r="C189">
            <v>88310</v>
          </cell>
          <cell r="D189">
            <v>8074</v>
          </cell>
          <cell r="E189">
            <v>5171</v>
          </cell>
          <cell r="F189">
            <v>2281</v>
          </cell>
          <cell r="G189">
            <v>1309</v>
          </cell>
          <cell r="H189">
            <v>15845</v>
          </cell>
          <cell r="I189">
            <v>7201</v>
          </cell>
          <cell r="J189">
            <v>7363</v>
          </cell>
          <cell r="K189">
            <v>8227</v>
          </cell>
          <cell r="L189">
            <v>6897</v>
          </cell>
          <cell r="M189">
            <v>150678</v>
          </cell>
        </row>
        <row r="193">
          <cell r="C193">
            <v>4804</v>
          </cell>
          <cell r="D193">
            <v>465</v>
          </cell>
          <cell r="E193">
            <v>303</v>
          </cell>
          <cell r="F193">
            <v>182</v>
          </cell>
          <cell r="G193">
            <v>52</v>
          </cell>
          <cell r="H193">
            <v>423</v>
          </cell>
          <cell r="I193">
            <v>139</v>
          </cell>
          <cell r="J193">
            <v>227</v>
          </cell>
          <cell r="K193">
            <v>358</v>
          </cell>
          <cell r="L193">
            <v>314</v>
          </cell>
          <cell r="M193">
            <v>7267</v>
          </cell>
        </row>
        <row r="194">
          <cell r="C194">
            <v>5707</v>
          </cell>
          <cell r="D194">
            <v>472</v>
          </cell>
          <cell r="E194">
            <v>314</v>
          </cell>
          <cell r="F194">
            <v>119</v>
          </cell>
          <cell r="G194">
            <v>33</v>
          </cell>
          <cell r="H194">
            <v>365</v>
          </cell>
          <cell r="I194">
            <v>135</v>
          </cell>
          <cell r="J194">
            <v>203</v>
          </cell>
          <cell r="K194">
            <v>340</v>
          </cell>
          <cell r="L194">
            <v>246</v>
          </cell>
          <cell r="M194">
            <v>7934</v>
          </cell>
        </row>
        <row r="195">
          <cell r="C195">
            <v>6706</v>
          </cell>
          <cell r="D195">
            <v>581</v>
          </cell>
          <cell r="E195">
            <v>388</v>
          </cell>
          <cell r="F195">
            <v>81</v>
          </cell>
          <cell r="G195">
            <v>109</v>
          </cell>
          <cell r="H195">
            <v>420</v>
          </cell>
          <cell r="I195">
            <v>126</v>
          </cell>
          <cell r="J195">
            <v>214</v>
          </cell>
          <cell r="K195">
            <v>393</v>
          </cell>
          <cell r="L195">
            <v>226</v>
          </cell>
          <cell r="M195">
            <v>9244</v>
          </cell>
        </row>
        <row r="196">
          <cell r="C196">
            <v>17217</v>
          </cell>
          <cell r="D196">
            <v>1518</v>
          </cell>
          <cell r="E196">
            <v>1005</v>
          </cell>
          <cell r="F196">
            <v>382</v>
          </cell>
          <cell r="G196">
            <v>194</v>
          </cell>
          <cell r="H196">
            <v>1208</v>
          </cell>
          <cell r="I196">
            <v>400</v>
          </cell>
          <cell r="J196">
            <v>644</v>
          </cell>
          <cell r="K196">
            <v>1091</v>
          </cell>
          <cell r="L196">
            <v>786</v>
          </cell>
          <cell r="M196">
            <v>24445</v>
          </cell>
        </row>
        <row r="197">
          <cell r="C197">
            <v>6299</v>
          </cell>
          <cell r="D197">
            <v>346</v>
          </cell>
          <cell r="E197">
            <v>485</v>
          </cell>
          <cell r="F197">
            <v>115</v>
          </cell>
          <cell r="G197">
            <v>70</v>
          </cell>
          <cell r="H197">
            <v>613</v>
          </cell>
          <cell r="I197">
            <v>265</v>
          </cell>
          <cell r="J197">
            <v>447</v>
          </cell>
          <cell r="K197">
            <v>628</v>
          </cell>
          <cell r="L197">
            <v>396</v>
          </cell>
          <cell r="M197">
            <v>9664</v>
          </cell>
        </row>
        <row r="198">
          <cell r="C198">
            <v>4664</v>
          </cell>
          <cell r="D198">
            <v>243</v>
          </cell>
          <cell r="E198">
            <v>324</v>
          </cell>
          <cell r="F198">
            <v>45</v>
          </cell>
          <cell r="G198">
            <v>28</v>
          </cell>
          <cell r="H198">
            <v>388</v>
          </cell>
          <cell r="I198">
            <v>210</v>
          </cell>
          <cell r="J198">
            <v>398</v>
          </cell>
          <cell r="K198">
            <v>485</v>
          </cell>
          <cell r="L198">
            <v>315</v>
          </cell>
          <cell r="M198">
            <v>7100</v>
          </cell>
        </row>
        <row r="199">
          <cell r="C199">
            <v>4710</v>
          </cell>
          <cell r="D199">
            <v>206</v>
          </cell>
          <cell r="E199">
            <v>283</v>
          </cell>
          <cell r="F199">
            <v>52</v>
          </cell>
          <cell r="G199">
            <v>37</v>
          </cell>
          <cell r="H199">
            <v>289</v>
          </cell>
          <cell r="I199">
            <v>194</v>
          </cell>
          <cell r="J199">
            <v>236</v>
          </cell>
          <cell r="K199">
            <v>420</v>
          </cell>
          <cell r="L199">
            <v>258</v>
          </cell>
          <cell r="M199">
            <v>6685</v>
          </cell>
        </row>
        <row r="200">
          <cell r="C200">
            <v>15673</v>
          </cell>
          <cell r="D200">
            <v>795</v>
          </cell>
          <cell r="E200">
            <v>1092</v>
          </cell>
          <cell r="F200">
            <v>212</v>
          </cell>
          <cell r="G200">
            <v>135</v>
          </cell>
          <cell r="H200">
            <v>1290</v>
          </cell>
          <cell r="I200">
            <v>669</v>
          </cell>
          <cell r="J200">
            <v>1081</v>
          </cell>
          <cell r="K200">
            <v>1533</v>
          </cell>
          <cell r="L200">
            <v>969</v>
          </cell>
          <cell r="M200">
            <v>23449</v>
          </cell>
        </row>
        <row r="201">
          <cell r="C201">
            <v>4877</v>
          </cell>
          <cell r="D201">
            <v>185</v>
          </cell>
          <cell r="E201">
            <v>454</v>
          </cell>
          <cell r="F201">
            <v>104</v>
          </cell>
          <cell r="G201">
            <v>21</v>
          </cell>
          <cell r="H201">
            <v>457</v>
          </cell>
          <cell r="I201">
            <v>250</v>
          </cell>
          <cell r="J201">
            <v>393</v>
          </cell>
          <cell r="K201">
            <v>929</v>
          </cell>
          <cell r="L201">
            <v>414</v>
          </cell>
          <cell r="M201">
            <v>8084</v>
          </cell>
        </row>
        <row r="202">
          <cell r="C202">
            <v>3409</v>
          </cell>
          <cell r="D202">
            <v>119</v>
          </cell>
          <cell r="E202">
            <v>343</v>
          </cell>
          <cell r="F202">
            <v>290</v>
          </cell>
          <cell r="G202">
            <v>35</v>
          </cell>
          <cell r="H202">
            <v>526</v>
          </cell>
          <cell r="I202">
            <v>780</v>
          </cell>
          <cell r="J202">
            <v>770</v>
          </cell>
          <cell r="K202">
            <v>864</v>
          </cell>
          <cell r="L202">
            <v>292</v>
          </cell>
          <cell r="M202">
            <v>7428</v>
          </cell>
        </row>
        <row r="203">
          <cell r="C203">
            <v>99</v>
          </cell>
          <cell r="D203">
            <v>8</v>
          </cell>
          <cell r="E203">
            <v>46</v>
          </cell>
          <cell r="F203">
            <v>2</v>
          </cell>
          <cell r="G203">
            <v>0</v>
          </cell>
          <cell r="H203">
            <v>18</v>
          </cell>
          <cell r="I203">
            <v>15</v>
          </cell>
          <cell r="J203">
            <v>29</v>
          </cell>
          <cell r="K203">
            <v>99</v>
          </cell>
          <cell r="L203">
            <v>35</v>
          </cell>
          <cell r="M203">
            <v>351</v>
          </cell>
        </row>
        <row r="204">
          <cell r="C204">
            <v>8385</v>
          </cell>
          <cell r="D204">
            <v>312</v>
          </cell>
          <cell r="E204">
            <v>843</v>
          </cell>
          <cell r="F204">
            <v>396</v>
          </cell>
          <cell r="G204">
            <v>56</v>
          </cell>
          <cell r="H204">
            <v>1001</v>
          </cell>
          <cell r="I204">
            <v>1045</v>
          </cell>
          <cell r="J204">
            <v>1192</v>
          </cell>
          <cell r="K204">
            <v>1892</v>
          </cell>
          <cell r="L204">
            <v>741</v>
          </cell>
          <cell r="M204">
            <v>15863</v>
          </cell>
        </row>
        <row r="205">
          <cell r="C205">
            <v>206</v>
          </cell>
          <cell r="D205">
            <v>16</v>
          </cell>
          <cell r="E205">
            <v>73</v>
          </cell>
          <cell r="F205">
            <v>1</v>
          </cell>
          <cell r="G205">
            <v>0</v>
          </cell>
          <cell r="H205">
            <v>24</v>
          </cell>
          <cell r="I205">
            <v>17</v>
          </cell>
          <cell r="J205">
            <v>55</v>
          </cell>
          <cell r="K205">
            <v>169</v>
          </cell>
          <cell r="L205">
            <v>41</v>
          </cell>
          <cell r="M205">
            <v>602</v>
          </cell>
        </row>
        <row r="206">
          <cell r="C206">
            <v>521</v>
          </cell>
          <cell r="D206">
            <v>88</v>
          </cell>
          <cell r="E206">
            <v>128</v>
          </cell>
          <cell r="F206">
            <v>9</v>
          </cell>
          <cell r="G206">
            <v>7</v>
          </cell>
          <cell r="H206">
            <v>38</v>
          </cell>
          <cell r="I206">
            <v>81</v>
          </cell>
          <cell r="J206">
            <v>113</v>
          </cell>
          <cell r="K206">
            <v>249</v>
          </cell>
          <cell r="L206">
            <v>65</v>
          </cell>
          <cell r="M206">
            <v>1299</v>
          </cell>
        </row>
        <row r="207">
          <cell r="C207">
            <v>1325</v>
          </cell>
          <cell r="D207">
            <v>90</v>
          </cell>
          <cell r="E207">
            <v>162</v>
          </cell>
          <cell r="F207">
            <v>38</v>
          </cell>
          <cell r="G207">
            <v>24</v>
          </cell>
          <cell r="H207">
            <v>119</v>
          </cell>
          <cell r="I207">
            <v>176</v>
          </cell>
          <cell r="J207">
            <v>209</v>
          </cell>
          <cell r="K207">
            <v>316</v>
          </cell>
          <cell r="L207">
            <v>137</v>
          </cell>
          <cell r="M207">
            <v>2596</v>
          </cell>
        </row>
        <row r="208">
          <cell r="C208">
            <v>2052</v>
          </cell>
          <cell r="D208">
            <v>194</v>
          </cell>
          <cell r="E208">
            <v>363</v>
          </cell>
          <cell r="F208">
            <v>48</v>
          </cell>
          <cell r="G208">
            <v>31</v>
          </cell>
          <cell r="H208">
            <v>181</v>
          </cell>
          <cell r="I208">
            <v>274</v>
          </cell>
          <cell r="J208">
            <v>377</v>
          </cell>
          <cell r="K208">
            <v>734</v>
          </cell>
          <cell r="L208">
            <v>243</v>
          </cell>
          <cell r="M208">
            <v>4497</v>
          </cell>
        </row>
        <row r="209">
          <cell r="C209">
            <v>43327</v>
          </cell>
          <cell r="D209">
            <v>2819</v>
          </cell>
          <cell r="E209">
            <v>3303</v>
          </cell>
          <cell r="F209">
            <v>1038</v>
          </cell>
          <cell r="G209">
            <v>416</v>
          </cell>
          <cell r="H209">
            <v>3680</v>
          </cell>
          <cell r="I209">
            <v>2388</v>
          </cell>
          <cell r="J209">
            <v>3294</v>
          </cell>
          <cell r="K209">
            <v>5250</v>
          </cell>
          <cell r="L209">
            <v>2739</v>
          </cell>
          <cell r="M209">
            <v>68254</v>
          </cell>
        </row>
        <row r="213">
          <cell r="C213">
            <v>4591</v>
          </cell>
          <cell r="D213">
            <v>1066</v>
          </cell>
          <cell r="E213">
            <v>238</v>
          </cell>
          <cell r="F213">
            <v>497</v>
          </cell>
          <cell r="G213">
            <v>207</v>
          </cell>
          <cell r="H213">
            <v>2066</v>
          </cell>
          <cell r="I213">
            <v>604</v>
          </cell>
          <cell r="J213">
            <v>414</v>
          </cell>
          <cell r="K213">
            <v>371</v>
          </cell>
          <cell r="L213">
            <v>793</v>
          </cell>
          <cell r="M213">
            <v>10847</v>
          </cell>
        </row>
        <row r="214">
          <cell r="C214">
            <v>4786</v>
          </cell>
          <cell r="D214">
            <v>860</v>
          </cell>
          <cell r="E214">
            <v>327</v>
          </cell>
          <cell r="F214">
            <v>165</v>
          </cell>
          <cell r="G214">
            <v>137</v>
          </cell>
          <cell r="H214">
            <v>1954</v>
          </cell>
          <cell r="I214">
            <v>590</v>
          </cell>
          <cell r="J214">
            <v>357</v>
          </cell>
          <cell r="K214">
            <v>285</v>
          </cell>
          <cell r="L214">
            <v>705</v>
          </cell>
          <cell r="M214">
            <v>10166</v>
          </cell>
        </row>
        <row r="215">
          <cell r="C215">
            <v>5101</v>
          </cell>
          <cell r="D215">
            <v>1021</v>
          </cell>
          <cell r="E215">
            <v>472</v>
          </cell>
          <cell r="F215">
            <v>203</v>
          </cell>
          <cell r="G215">
            <v>307</v>
          </cell>
          <cell r="H215">
            <v>1947</v>
          </cell>
          <cell r="I215">
            <v>433</v>
          </cell>
          <cell r="J215">
            <v>406</v>
          </cell>
          <cell r="K215">
            <v>229</v>
          </cell>
          <cell r="L215">
            <v>549</v>
          </cell>
          <cell r="M215">
            <v>10668</v>
          </cell>
        </row>
        <row r="216">
          <cell r="C216">
            <v>14478</v>
          </cell>
          <cell r="D216">
            <v>2947</v>
          </cell>
          <cell r="E216">
            <v>1037</v>
          </cell>
          <cell r="F216">
            <v>865</v>
          </cell>
          <cell r="G216">
            <v>651</v>
          </cell>
          <cell r="H216">
            <v>5967</v>
          </cell>
          <cell r="I216">
            <v>1627</v>
          </cell>
          <cell r="J216">
            <v>1177</v>
          </cell>
          <cell r="K216">
            <v>885</v>
          </cell>
          <cell r="L216">
            <v>2047</v>
          </cell>
          <cell r="M216">
            <v>31681</v>
          </cell>
        </row>
        <row r="217">
          <cell r="C217">
            <v>5622</v>
          </cell>
          <cell r="D217">
            <v>673</v>
          </cell>
          <cell r="E217">
            <v>257</v>
          </cell>
          <cell r="F217">
            <v>73</v>
          </cell>
          <cell r="G217">
            <v>89</v>
          </cell>
          <cell r="H217">
            <v>1487</v>
          </cell>
          <cell r="I217">
            <v>551</v>
          </cell>
          <cell r="J217">
            <v>434</v>
          </cell>
          <cell r="K217">
            <v>311</v>
          </cell>
          <cell r="L217">
            <v>457</v>
          </cell>
          <cell r="M217">
            <v>9954</v>
          </cell>
        </row>
        <row r="218">
          <cell r="C218">
            <v>4340</v>
          </cell>
          <cell r="D218">
            <v>377</v>
          </cell>
          <cell r="E218">
            <v>116</v>
          </cell>
          <cell r="F218">
            <v>26</v>
          </cell>
          <cell r="G218">
            <v>35</v>
          </cell>
          <cell r="H218">
            <v>823</v>
          </cell>
          <cell r="I218">
            <v>413</v>
          </cell>
          <cell r="J218">
            <v>453</v>
          </cell>
          <cell r="K218">
            <v>310</v>
          </cell>
          <cell r="L218">
            <v>346</v>
          </cell>
          <cell r="M218">
            <v>7239</v>
          </cell>
        </row>
        <row r="219">
          <cell r="C219">
            <v>6610</v>
          </cell>
          <cell r="D219">
            <v>303</v>
          </cell>
          <cell r="E219">
            <v>94</v>
          </cell>
          <cell r="F219">
            <v>22</v>
          </cell>
          <cell r="G219">
            <v>23</v>
          </cell>
          <cell r="H219">
            <v>716</v>
          </cell>
          <cell r="I219">
            <v>432</v>
          </cell>
          <cell r="J219">
            <v>390</v>
          </cell>
          <cell r="K219">
            <v>227</v>
          </cell>
          <cell r="L219">
            <v>343</v>
          </cell>
          <cell r="M219">
            <v>9160</v>
          </cell>
        </row>
        <row r="220">
          <cell r="C220">
            <v>16572</v>
          </cell>
          <cell r="D220">
            <v>1353</v>
          </cell>
          <cell r="E220">
            <v>467</v>
          </cell>
          <cell r="F220">
            <v>121</v>
          </cell>
          <cell r="G220">
            <v>147</v>
          </cell>
          <cell r="H220">
            <v>3026</v>
          </cell>
          <cell r="I220">
            <v>1396</v>
          </cell>
          <cell r="J220">
            <v>1277</v>
          </cell>
          <cell r="K220">
            <v>848</v>
          </cell>
          <cell r="L220">
            <v>1146</v>
          </cell>
          <cell r="M220">
            <v>26353</v>
          </cell>
        </row>
        <row r="221">
          <cell r="C221">
            <v>7364</v>
          </cell>
          <cell r="D221">
            <v>468</v>
          </cell>
          <cell r="E221">
            <v>110</v>
          </cell>
          <cell r="F221">
            <v>29</v>
          </cell>
          <cell r="G221">
            <v>26</v>
          </cell>
          <cell r="H221">
            <v>1066</v>
          </cell>
          <cell r="I221">
            <v>623</v>
          </cell>
          <cell r="J221">
            <v>490</v>
          </cell>
          <cell r="K221">
            <v>410</v>
          </cell>
          <cell r="L221">
            <v>422</v>
          </cell>
          <cell r="M221">
            <v>11008</v>
          </cell>
        </row>
        <row r="222">
          <cell r="C222">
            <v>5858</v>
          </cell>
          <cell r="D222">
            <v>416</v>
          </cell>
          <cell r="E222">
            <v>104</v>
          </cell>
          <cell r="F222">
            <v>206</v>
          </cell>
          <cell r="G222">
            <v>51</v>
          </cell>
          <cell r="H222">
            <v>1561</v>
          </cell>
          <cell r="I222">
            <v>690</v>
          </cell>
          <cell r="J222">
            <v>476</v>
          </cell>
          <cell r="K222">
            <v>419</v>
          </cell>
          <cell r="L222">
            <v>379</v>
          </cell>
          <cell r="M222">
            <v>10160</v>
          </cell>
        </row>
        <row r="223">
          <cell r="C223">
            <v>130</v>
          </cell>
          <cell r="D223">
            <v>24</v>
          </cell>
          <cell r="E223">
            <v>6</v>
          </cell>
          <cell r="F223">
            <v>4</v>
          </cell>
          <cell r="G223">
            <v>3</v>
          </cell>
          <cell r="H223">
            <v>34</v>
          </cell>
          <cell r="I223">
            <v>14</v>
          </cell>
          <cell r="J223">
            <v>27</v>
          </cell>
          <cell r="K223">
            <v>47</v>
          </cell>
          <cell r="L223">
            <v>13</v>
          </cell>
          <cell r="M223">
            <v>302</v>
          </cell>
        </row>
        <row r="224">
          <cell r="C224">
            <v>13352</v>
          </cell>
          <cell r="D224">
            <v>908</v>
          </cell>
          <cell r="E224">
            <v>220</v>
          </cell>
          <cell r="F224">
            <v>239</v>
          </cell>
          <cell r="G224">
            <v>80</v>
          </cell>
          <cell r="H224">
            <v>2661</v>
          </cell>
          <cell r="I224">
            <v>1327</v>
          </cell>
          <cell r="J224">
            <v>993</v>
          </cell>
          <cell r="K224">
            <v>876</v>
          </cell>
          <cell r="L224">
            <v>814</v>
          </cell>
          <cell r="M224">
            <v>21470</v>
          </cell>
        </row>
        <row r="225">
          <cell r="C225">
            <v>36</v>
          </cell>
          <cell r="D225">
            <v>2</v>
          </cell>
          <cell r="E225">
            <v>8</v>
          </cell>
          <cell r="F225">
            <v>0</v>
          </cell>
          <cell r="G225">
            <v>1</v>
          </cell>
          <cell r="H225">
            <v>51</v>
          </cell>
          <cell r="I225">
            <v>19</v>
          </cell>
          <cell r="J225">
            <v>65</v>
          </cell>
          <cell r="K225">
            <v>40</v>
          </cell>
          <cell r="L225">
            <v>9</v>
          </cell>
          <cell r="M225">
            <v>231</v>
          </cell>
        </row>
        <row r="226">
          <cell r="C226">
            <v>203</v>
          </cell>
          <cell r="D226">
            <v>16</v>
          </cell>
          <cell r="E226">
            <v>55</v>
          </cell>
          <cell r="F226">
            <v>2</v>
          </cell>
          <cell r="G226">
            <v>5</v>
          </cell>
          <cell r="H226">
            <v>122</v>
          </cell>
          <cell r="I226">
            <v>193</v>
          </cell>
          <cell r="J226">
            <v>237</v>
          </cell>
          <cell r="K226">
            <v>161</v>
          </cell>
          <cell r="L226">
            <v>59</v>
          </cell>
          <cell r="M226">
            <v>1053</v>
          </cell>
        </row>
        <row r="227">
          <cell r="C227">
            <v>342</v>
          </cell>
          <cell r="D227">
            <v>29</v>
          </cell>
          <cell r="E227">
            <v>81</v>
          </cell>
          <cell r="F227">
            <v>16</v>
          </cell>
          <cell r="G227">
            <v>9</v>
          </cell>
          <cell r="H227">
            <v>338</v>
          </cell>
          <cell r="I227">
            <v>251</v>
          </cell>
          <cell r="J227">
            <v>320</v>
          </cell>
          <cell r="K227">
            <v>167</v>
          </cell>
          <cell r="L227">
            <v>83</v>
          </cell>
          <cell r="M227">
            <v>1636</v>
          </cell>
        </row>
        <row r="228">
          <cell r="C228">
            <v>581</v>
          </cell>
          <cell r="D228">
            <v>47</v>
          </cell>
          <cell r="E228">
            <v>144</v>
          </cell>
          <cell r="F228">
            <v>18</v>
          </cell>
          <cell r="G228">
            <v>15</v>
          </cell>
          <cell r="H228">
            <v>511</v>
          </cell>
          <cell r="I228">
            <v>463</v>
          </cell>
          <cell r="J228">
            <v>622</v>
          </cell>
          <cell r="K228">
            <v>368</v>
          </cell>
          <cell r="L228">
            <v>151</v>
          </cell>
          <cell r="M228">
            <v>2920</v>
          </cell>
        </row>
        <row r="229">
          <cell r="C229">
            <v>44983</v>
          </cell>
          <cell r="D229">
            <v>5255</v>
          </cell>
          <cell r="E229">
            <v>1868</v>
          </cell>
          <cell r="F229">
            <v>1243</v>
          </cell>
          <cell r="G229">
            <v>893</v>
          </cell>
          <cell r="H229">
            <v>12165</v>
          </cell>
          <cell r="I229">
            <v>4813</v>
          </cell>
          <cell r="J229">
            <v>4069</v>
          </cell>
          <cell r="K229">
            <v>2977</v>
          </cell>
          <cell r="L229">
            <v>4158</v>
          </cell>
          <cell r="M229">
            <v>82424</v>
          </cell>
        </row>
        <row r="293">
          <cell r="I293">
            <v>7.902229255538737</v>
          </cell>
        </row>
        <row r="294">
          <cell r="I294">
            <v>7.6606377615326444</v>
          </cell>
        </row>
        <row r="295">
          <cell r="I295">
            <v>7.3057659022068373</v>
          </cell>
        </row>
        <row r="296">
          <cell r="I296">
            <v>7.5982614031499285</v>
          </cell>
        </row>
        <row r="297">
          <cell r="I297">
            <v>6.8215542218543046</v>
          </cell>
        </row>
        <row r="298">
          <cell r="I298">
            <v>6.9716901408450704</v>
          </cell>
        </row>
        <row r="299">
          <cell r="I299">
            <v>7.6168287210172023</v>
          </cell>
        </row>
        <row r="300">
          <cell r="I300">
            <v>7.0937353405262487</v>
          </cell>
        </row>
        <row r="301">
          <cell r="I301">
            <v>8.412357743691242</v>
          </cell>
        </row>
        <row r="302">
          <cell r="I302">
            <v>7.686927840603123</v>
          </cell>
        </row>
        <row r="303">
          <cell r="I303">
            <v>14.616809116809117</v>
          </cell>
        </row>
        <row r="304">
          <cell r="I304">
            <v>8.2099539809619877</v>
          </cell>
        </row>
        <row r="305">
          <cell r="I305">
            <v>17.352990033222593</v>
          </cell>
        </row>
        <row r="306">
          <cell r="I306">
            <v>16.277521170130871</v>
          </cell>
        </row>
        <row r="307">
          <cell r="I307">
            <v>13.721687211093991</v>
          </cell>
        </row>
        <row r="308">
          <cell r="I308">
            <v>14.946075161218591</v>
          </cell>
        </row>
        <row r="309">
          <cell r="I309">
            <v>8.0512131157148303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  <sheetName val="oth europe"/>
    </sheetNames>
    <sheetDataSet>
      <sheetData sheetId="0"/>
      <sheetData sheetId="1">
        <row r="5">
          <cell r="P5">
            <v>16695</v>
          </cell>
        </row>
        <row r="6">
          <cell r="P6">
            <v>16452</v>
          </cell>
        </row>
        <row r="7">
          <cell r="P7">
            <v>20424</v>
          </cell>
        </row>
        <row r="9">
          <cell r="P9">
            <v>17990</v>
          </cell>
        </row>
        <row r="10">
          <cell r="P10">
            <v>13980</v>
          </cell>
        </row>
        <row r="11">
          <cell r="P11">
            <v>12971</v>
          </cell>
        </row>
        <row r="13">
          <cell r="P13">
            <v>15524</v>
          </cell>
        </row>
        <row r="14">
          <cell r="P14">
            <v>15721</v>
          </cell>
        </row>
        <row r="15">
          <cell r="P15">
            <v>5547</v>
          </cell>
        </row>
        <row r="17">
          <cell r="P17">
            <v>6441</v>
          </cell>
        </row>
        <row r="18">
          <cell r="P18">
            <v>9823</v>
          </cell>
        </row>
        <row r="19">
          <cell r="P19">
            <v>12499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Q5">
            <v>12336</v>
          </cell>
        </row>
        <row r="6">
          <cell r="Q6">
            <v>12549</v>
          </cell>
        </row>
        <row r="7">
          <cell r="Q7">
            <v>14729</v>
          </cell>
        </row>
        <row r="9">
          <cell r="Q9">
            <v>11998</v>
          </cell>
        </row>
        <row r="10">
          <cell r="Q10">
            <v>12122</v>
          </cell>
        </row>
        <row r="11">
          <cell r="Q11">
            <v>10027</v>
          </cell>
        </row>
        <row r="13">
          <cell r="Q13">
            <v>12372</v>
          </cell>
        </row>
        <row r="14">
          <cell r="Q14">
            <v>12508</v>
          </cell>
        </row>
        <row r="15">
          <cell r="Q15">
            <v>4056</v>
          </cell>
        </row>
        <row r="17">
          <cell r="Q17">
            <v>5192</v>
          </cell>
        </row>
        <row r="18">
          <cell r="Q18">
            <v>9540</v>
          </cell>
        </row>
        <row r="19">
          <cell r="Q19">
            <v>10432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R5">
            <v>10063</v>
          </cell>
        </row>
        <row r="6">
          <cell r="R6">
            <v>10034</v>
          </cell>
        </row>
        <row r="7">
          <cell r="R7">
            <v>11152</v>
          </cell>
        </row>
        <row r="9">
          <cell r="R9">
            <v>11553</v>
          </cell>
        </row>
        <row r="10">
          <cell r="R10">
            <v>9005</v>
          </cell>
        </row>
        <row r="11">
          <cell r="R11">
            <v>8822</v>
          </cell>
        </row>
        <row r="13">
          <cell r="R13">
            <v>11536</v>
          </cell>
        </row>
        <row r="14">
          <cell r="R14">
            <v>10084</v>
          </cell>
        </row>
        <row r="15">
          <cell r="R15">
            <v>3815</v>
          </cell>
        </row>
        <row r="17">
          <cell r="R17">
            <v>6117</v>
          </cell>
        </row>
        <row r="18">
          <cell r="R18">
            <v>8492</v>
          </cell>
        </row>
        <row r="19">
          <cell r="R19">
            <v>11442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S5">
            <v>10502</v>
          </cell>
        </row>
        <row r="6">
          <cell r="S6">
            <v>12037</v>
          </cell>
        </row>
        <row r="7">
          <cell r="S7">
            <v>13152</v>
          </cell>
        </row>
        <row r="9">
          <cell r="S9">
            <v>11605</v>
          </cell>
        </row>
        <row r="10">
          <cell r="S10">
            <v>9723</v>
          </cell>
        </row>
        <row r="11">
          <cell r="S11">
            <v>8626</v>
          </cell>
        </row>
        <row r="13">
          <cell r="S13">
            <v>11307</v>
          </cell>
        </row>
        <row r="14">
          <cell r="S14">
            <v>10936</v>
          </cell>
        </row>
        <row r="15">
          <cell r="S15">
            <v>3865</v>
          </cell>
        </row>
        <row r="17">
          <cell r="S17">
            <v>5619</v>
          </cell>
        </row>
        <row r="18">
          <cell r="S18">
            <v>9075</v>
          </cell>
        </row>
        <row r="19">
          <cell r="S19">
            <v>11964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T5">
            <v>11632</v>
          </cell>
        </row>
        <row r="6">
          <cell r="T6">
            <v>12002</v>
          </cell>
        </row>
        <row r="7">
          <cell r="T7">
            <v>14706</v>
          </cell>
        </row>
        <row r="9">
          <cell r="T9">
            <v>12797</v>
          </cell>
        </row>
        <row r="10">
          <cell r="T10">
            <v>10160</v>
          </cell>
        </row>
        <row r="11">
          <cell r="T11">
            <v>9024</v>
          </cell>
        </row>
        <row r="13">
          <cell r="T13">
            <v>12702</v>
          </cell>
        </row>
        <row r="14">
          <cell r="T14">
            <v>9161</v>
          </cell>
        </row>
        <row r="15">
          <cell r="T15">
            <v>3637</v>
          </cell>
        </row>
        <row r="17">
          <cell r="T17">
            <v>5498</v>
          </cell>
        </row>
        <row r="18">
          <cell r="T18">
            <v>9966</v>
          </cell>
        </row>
        <row r="19">
          <cell r="T19">
            <v>12273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U5">
            <v>13166</v>
          </cell>
        </row>
        <row r="6">
          <cell r="U6">
            <v>13361</v>
          </cell>
        </row>
        <row r="7">
          <cell r="U7">
            <v>14242</v>
          </cell>
        </row>
        <row r="9">
          <cell r="U9">
            <v>12595</v>
          </cell>
        </row>
        <row r="10">
          <cell r="U10">
            <v>10344</v>
          </cell>
        </row>
        <row r="11">
          <cell r="U11">
            <v>9246</v>
          </cell>
        </row>
        <row r="13">
          <cell r="U13">
            <v>11282</v>
          </cell>
        </row>
        <row r="14">
          <cell r="U14">
            <v>12380</v>
          </cell>
        </row>
        <row r="15">
          <cell r="U15">
            <v>4344</v>
          </cell>
        </row>
        <row r="17">
          <cell r="U17">
            <v>6001</v>
          </cell>
        </row>
        <row r="18">
          <cell r="U18">
            <v>8866</v>
          </cell>
        </row>
        <row r="19">
          <cell r="U19">
            <v>13564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V5">
            <v>14126</v>
          </cell>
        </row>
        <row r="6">
          <cell r="V6">
            <v>14705</v>
          </cell>
        </row>
        <row r="7">
          <cell r="V7">
            <v>17732</v>
          </cell>
        </row>
        <row r="9">
          <cell r="V9">
            <v>13787</v>
          </cell>
        </row>
        <row r="10">
          <cell r="V10">
            <v>11736</v>
          </cell>
        </row>
        <row r="11">
          <cell r="V11">
            <v>11117</v>
          </cell>
        </row>
        <row r="13">
          <cell r="V13">
            <v>13497</v>
          </cell>
        </row>
        <row r="14">
          <cell r="V14">
            <v>14974</v>
          </cell>
        </row>
        <row r="15">
          <cell r="V15">
            <v>4479</v>
          </cell>
        </row>
        <row r="17">
          <cell r="V17">
            <v>6579</v>
          </cell>
        </row>
        <row r="18">
          <cell r="V18">
            <v>11936</v>
          </cell>
        </row>
        <row r="19">
          <cell r="V19">
            <v>16635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  <sheetName val="Passenger Movement"/>
    </sheetNames>
    <sheetDataSet>
      <sheetData sheetId="0">
        <row r="4">
          <cell r="B4">
            <v>2018</v>
          </cell>
        </row>
      </sheetData>
      <sheetData sheetId="1" refreshError="1">
        <row r="5">
          <cell r="W5">
            <v>17183</v>
          </cell>
        </row>
        <row r="6">
          <cell r="W6">
            <v>16354</v>
          </cell>
        </row>
        <row r="7">
          <cell r="W7">
            <v>18447</v>
          </cell>
        </row>
        <row r="8">
          <cell r="W8">
            <v>51984</v>
          </cell>
        </row>
        <row r="9">
          <cell r="W9">
            <v>17923</v>
          </cell>
        </row>
        <row r="10">
          <cell r="W10">
            <v>13609</v>
          </cell>
        </row>
        <row r="11">
          <cell r="W11">
            <v>13315</v>
          </cell>
        </row>
        <row r="12">
          <cell r="W12">
            <v>44847</v>
          </cell>
        </row>
        <row r="13">
          <cell r="W13">
            <v>16098</v>
          </cell>
        </row>
        <row r="14">
          <cell r="W14">
            <v>16210</v>
          </cell>
        </row>
        <row r="15">
          <cell r="W15">
            <v>5956</v>
          </cell>
        </row>
        <row r="16">
          <cell r="W16">
            <v>38264</v>
          </cell>
        </row>
        <row r="17">
          <cell r="W17">
            <v>7134</v>
          </cell>
        </row>
        <row r="18">
          <cell r="W18">
            <v>13590</v>
          </cell>
        </row>
        <row r="19">
          <cell r="W19">
            <v>20961</v>
          </cell>
        </row>
        <row r="20">
          <cell r="W20">
            <v>41685</v>
          </cell>
        </row>
        <row r="21">
          <cell r="W21">
            <v>176780</v>
          </cell>
        </row>
        <row r="26">
          <cell r="W26">
            <v>6644</v>
          </cell>
        </row>
        <row r="27">
          <cell r="W27">
            <v>7026</v>
          </cell>
        </row>
        <row r="28">
          <cell r="W28">
            <v>7868</v>
          </cell>
        </row>
        <row r="29">
          <cell r="W29">
            <v>21538</v>
          </cell>
        </row>
        <row r="30">
          <cell r="W30">
            <v>7688</v>
          </cell>
        </row>
        <row r="31">
          <cell r="W31">
            <v>5894</v>
          </cell>
        </row>
        <row r="32">
          <cell r="W32">
            <v>5296</v>
          </cell>
        </row>
        <row r="33">
          <cell r="W33">
            <v>18878</v>
          </cell>
        </row>
        <row r="34">
          <cell r="W34">
            <v>6159</v>
          </cell>
        </row>
        <row r="35">
          <cell r="W35">
            <v>5735</v>
          </cell>
        </row>
        <row r="36">
          <cell r="W36">
            <v>1649</v>
          </cell>
        </row>
        <row r="37">
          <cell r="W37">
            <v>13543</v>
          </cell>
        </row>
        <row r="38">
          <cell r="W38">
            <v>2236</v>
          </cell>
        </row>
        <row r="39">
          <cell r="W39">
            <v>6148</v>
          </cell>
        </row>
        <row r="40">
          <cell r="W40">
            <v>8574</v>
          </cell>
        </row>
        <row r="41">
          <cell r="W41">
            <v>16958</v>
          </cell>
        </row>
        <row r="42">
          <cell r="W42">
            <v>70917</v>
          </cell>
        </row>
        <row r="46">
          <cell r="W46">
            <v>10539</v>
          </cell>
        </row>
        <row r="47">
          <cell r="W47">
            <v>9328</v>
          </cell>
        </row>
        <row r="48">
          <cell r="W48">
            <v>10579</v>
          </cell>
        </row>
        <row r="49">
          <cell r="W49">
            <v>30446</v>
          </cell>
        </row>
        <row r="50">
          <cell r="W50">
            <v>10235</v>
          </cell>
        </row>
        <row r="51">
          <cell r="W51">
            <v>7715</v>
          </cell>
        </row>
        <row r="52">
          <cell r="W52">
            <v>8019</v>
          </cell>
        </row>
        <row r="53">
          <cell r="W53">
            <v>25969</v>
          </cell>
        </row>
        <row r="54">
          <cell r="W54">
            <v>9939</v>
          </cell>
        </row>
        <row r="55">
          <cell r="W55">
            <v>10475</v>
          </cell>
        </row>
        <row r="56">
          <cell r="W56">
            <v>4307</v>
          </cell>
        </row>
        <row r="57">
          <cell r="W57">
            <v>24721</v>
          </cell>
        </row>
        <row r="58">
          <cell r="W58">
            <v>4898</v>
          </cell>
        </row>
        <row r="59">
          <cell r="W59">
            <v>7442</v>
          </cell>
        </row>
        <row r="60">
          <cell r="W60">
            <v>12387</v>
          </cell>
        </row>
        <row r="61">
          <cell r="W61">
            <v>24727</v>
          </cell>
        </row>
        <row r="62">
          <cell r="W62">
            <v>105863</v>
          </cell>
        </row>
        <row r="66">
          <cell r="W66">
            <v>24186</v>
          </cell>
        </row>
        <row r="67">
          <cell r="W67">
            <v>22061</v>
          </cell>
        </row>
        <row r="68">
          <cell r="W68">
            <v>25705</v>
          </cell>
        </row>
        <row r="69">
          <cell r="W69">
            <v>71952</v>
          </cell>
        </row>
        <row r="70">
          <cell r="W70">
            <v>25037</v>
          </cell>
        </row>
        <row r="71">
          <cell r="W71">
            <v>20801</v>
          </cell>
        </row>
        <row r="72">
          <cell r="W72">
            <v>20063</v>
          </cell>
        </row>
        <row r="73">
          <cell r="W73">
            <v>65901</v>
          </cell>
        </row>
        <row r="74">
          <cell r="W74">
            <v>23583</v>
          </cell>
        </row>
        <row r="75">
          <cell r="W75">
            <v>25217</v>
          </cell>
        </row>
        <row r="76">
          <cell r="W76">
            <v>12317</v>
          </cell>
        </row>
        <row r="77">
          <cell r="W77">
            <v>61117</v>
          </cell>
        </row>
        <row r="78">
          <cell r="W78">
            <v>13143</v>
          </cell>
        </row>
        <row r="79">
          <cell r="W79">
            <v>19872</v>
          </cell>
        </row>
        <row r="80">
          <cell r="W80">
            <v>30142</v>
          </cell>
        </row>
        <row r="81">
          <cell r="W81">
            <v>63157</v>
          </cell>
        </row>
        <row r="82">
          <cell r="W82">
            <v>262127</v>
          </cell>
        </row>
        <row r="86">
          <cell r="W86">
            <v>24411</v>
          </cell>
        </row>
        <row r="87">
          <cell r="W87">
            <v>21842</v>
          </cell>
        </row>
        <row r="88">
          <cell r="W88">
            <v>26223</v>
          </cell>
        </row>
        <row r="89">
          <cell r="W89">
            <v>72476</v>
          </cell>
        </row>
        <row r="90">
          <cell r="W90">
            <v>25018</v>
          </cell>
        </row>
        <row r="91">
          <cell r="W91">
            <v>20196</v>
          </cell>
        </row>
        <row r="92">
          <cell r="W92">
            <v>19867</v>
          </cell>
        </row>
        <row r="93">
          <cell r="W93">
            <v>65081</v>
          </cell>
        </row>
        <row r="94">
          <cell r="W94">
            <v>22384</v>
          </cell>
        </row>
        <row r="95">
          <cell r="W95">
            <v>26637</v>
          </cell>
        </row>
        <row r="96">
          <cell r="W96">
            <v>12197</v>
          </cell>
        </row>
        <row r="97">
          <cell r="W97">
            <v>61218</v>
          </cell>
        </row>
        <row r="98">
          <cell r="W98">
            <v>12441</v>
          </cell>
        </row>
        <row r="99">
          <cell r="W99">
            <v>18955</v>
          </cell>
        </row>
        <row r="100">
          <cell r="W100">
            <v>28161</v>
          </cell>
        </row>
        <row r="101">
          <cell r="W101">
            <v>59557</v>
          </cell>
        </row>
        <row r="102">
          <cell r="W102">
            <v>258332</v>
          </cell>
        </row>
      </sheetData>
      <sheetData sheetId="2"/>
      <sheetData sheetId="3" refreshError="1">
        <row r="32">
          <cell r="D32">
            <v>2</v>
          </cell>
          <cell r="E32">
            <v>6</v>
          </cell>
        </row>
        <row r="33">
          <cell r="D33">
            <v>253</v>
          </cell>
          <cell r="E33">
            <v>786</v>
          </cell>
        </row>
        <row r="36">
          <cell r="C36">
            <v>6</v>
          </cell>
          <cell r="D36">
            <v>2</v>
          </cell>
          <cell r="E36">
            <v>3</v>
          </cell>
          <cell r="F36">
            <v>3</v>
          </cell>
          <cell r="M36">
            <v>1</v>
          </cell>
          <cell r="N36">
            <v>6</v>
          </cell>
        </row>
        <row r="37">
          <cell r="C37">
            <v>923</v>
          </cell>
          <cell r="D37">
            <v>433</v>
          </cell>
          <cell r="E37">
            <v>378</v>
          </cell>
          <cell r="F37">
            <v>351</v>
          </cell>
          <cell r="M37">
            <v>64</v>
          </cell>
          <cell r="N37">
            <v>690</v>
          </cell>
        </row>
        <row r="38">
          <cell r="M38">
            <v>91</v>
          </cell>
          <cell r="N38">
            <v>553</v>
          </cell>
        </row>
        <row r="40">
          <cell r="E40">
            <v>4</v>
          </cell>
        </row>
        <row r="41">
          <cell r="E41">
            <v>693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401"/>
  <sheetViews>
    <sheetView zoomScale="90" zoomScaleNormal="90" zoomScaleSheetLayoutView="75" workbookViewId="0">
      <selection activeCell="H22" sqref="H22"/>
    </sheetView>
  </sheetViews>
  <sheetFormatPr defaultRowHeight="15" x14ac:dyDescent="0.2"/>
  <cols>
    <col min="1" max="1" width="13.88671875" style="196" customWidth="1"/>
    <col min="2" max="7" width="18.109375" style="29" customWidth="1"/>
    <col min="8" max="8" width="12.88671875" style="29" customWidth="1"/>
    <col min="9" max="9" width="9.6640625" style="29" customWidth="1"/>
    <col min="10" max="10" width="9.5546875" style="29" customWidth="1"/>
    <col min="11" max="11" width="12.77734375" style="29" customWidth="1"/>
    <col min="12" max="12" width="9" style="29" bestFit="1" customWidth="1"/>
    <col min="13" max="13" width="13.6640625" style="29" bestFit="1" customWidth="1"/>
    <col min="14" max="14" width="10.88671875" style="29" customWidth="1"/>
    <col min="15" max="15" width="12.44140625" style="29" customWidth="1"/>
    <col min="16" max="16" width="10.33203125" style="29" customWidth="1"/>
    <col min="17" max="17" width="9" style="29" bestFit="1" customWidth="1"/>
    <col min="18" max="18" width="14.6640625" style="29" customWidth="1"/>
    <col min="19" max="19" width="16.21875" style="29" bestFit="1" customWidth="1"/>
    <col min="20" max="20" width="10.88671875" style="29" bestFit="1" customWidth="1"/>
    <col min="21" max="21" width="12.21875" style="29" bestFit="1" customWidth="1"/>
    <col min="22" max="22" width="13.44140625" style="29" bestFit="1" customWidth="1"/>
    <col min="23" max="23" width="13.109375" style="29" bestFit="1" customWidth="1"/>
    <col min="24" max="24" width="11" style="29" bestFit="1" customWidth="1"/>
    <col min="25" max="25" width="11.21875" style="29" bestFit="1" customWidth="1"/>
    <col min="26" max="26" width="11.77734375" style="29" bestFit="1" customWidth="1"/>
    <col min="27" max="27" width="10.88671875" style="29" bestFit="1" customWidth="1"/>
    <col min="28" max="28" width="11" style="29" bestFit="1" customWidth="1"/>
    <col min="29" max="29" width="13.5546875" style="29" bestFit="1" customWidth="1"/>
    <col min="30" max="30" width="19.21875" style="29" bestFit="1" customWidth="1"/>
    <col min="31" max="31" width="10.109375" style="29" bestFit="1" customWidth="1"/>
    <col min="32" max="32" width="7.88671875" style="29" bestFit="1" customWidth="1"/>
    <col min="33" max="33" width="13.88671875" style="29" bestFit="1" customWidth="1"/>
    <col min="34" max="34" width="12.6640625" style="29" bestFit="1" customWidth="1"/>
    <col min="35" max="35" width="9.109375" style="29" bestFit="1" customWidth="1"/>
    <col min="36" max="36" width="22.33203125" style="29" bestFit="1" customWidth="1"/>
    <col min="37" max="37" width="9.33203125" style="29" bestFit="1" customWidth="1"/>
    <col min="38" max="61" width="8.88671875" style="30"/>
    <col min="62" max="16384" width="8.88671875" style="31"/>
  </cols>
  <sheetData>
    <row r="1" spans="1:61" ht="40.5" customHeight="1" thickBot="1" x14ac:dyDescent="0.4">
      <c r="A1" s="339" t="s">
        <v>198</v>
      </c>
      <c r="B1" s="340"/>
      <c r="C1" s="340"/>
      <c r="D1" s="340"/>
      <c r="E1" s="340"/>
      <c r="F1" s="341"/>
    </row>
    <row r="2" spans="1:61" s="35" customFormat="1" ht="21.75" customHeight="1" thickBot="1" x14ac:dyDescent="0.25">
      <c r="A2" s="342" t="s">
        <v>199</v>
      </c>
      <c r="B2" s="343"/>
      <c r="C2" s="343"/>
      <c r="D2" s="343"/>
      <c r="E2" s="343"/>
      <c r="F2" s="344"/>
      <c r="G2" s="32"/>
      <c r="H2" s="32"/>
      <c r="I2" s="32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</row>
    <row r="3" spans="1:61" ht="15.75" thickBot="1" x14ac:dyDescent="0.25">
      <c r="A3" s="36"/>
      <c r="B3" s="37" t="s">
        <v>61</v>
      </c>
      <c r="C3" s="37" t="s">
        <v>62</v>
      </c>
      <c r="D3" s="37" t="s">
        <v>63</v>
      </c>
      <c r="E3" s="37" t="s">
        <v>64</v>
      </c>
      <c r="F3" s="38" t="s">
        <v>0</v>
      </c>
      <c r="G3" s="32"/>
      <c r="H3" s="32"/>
      <c r="I3" s="32"/>
    </row>
    <row r="4" spans="1:61" x14ac:dyDescent="0.2">
      <c r="A4" s="39" t="s">
        <v>65</v>
      </c>
      <c r="B4" s="40">
        <v>1878</v>
      </c>
      <c r="C4" s="41">
        <f>D4+E4</f>
        <v>8764</v>
      </c>
      <c r="D4" s="40">
        <v>7550</v>
      </c>
      <c r="E4" s="40">
        <v>1214</v>
      </c>
      <c r="F4" s="42">
        <f>B4+C4</f>
        <v>10642</v>
      </c>
      <c r="G4" s="32"/>
      <c r="H4" s="32"/>
      <c r="I4" s="32"/>
      <c r="J4" s="32"/>
      <c r="K4" s="32"/>
    </row>
    <row r="5" spans="1:61" x14ac:dyDescent="0.2">
      <c r="A5" s="43" t="s">
        <v>66</v>
      </c>
      <c r="B5" s="44">
        <v>873</v>
      </c>
      <c r="C5" s="45">
        <f t="shared" ref="C5:C15" si="0">D5+E5</f>
        <v>4676</v>
      </c>
      <c r="D5" s="44">
        <v>3341</v>
      </c>
      <c r="E5" s="44">
        <v>1335</v>
      </c>
      <c r="F5" s="46">
        <f t="shared" ref="F5:F16" si="1">B5+C5</f>
        <v>5549</v>
      </c>
      <c r="G5" s="32"/>
      <c r="H5" s="32"/>
      <c r="I5" s="32"/>
      <c r="J5" s="32"/>
      <c r="K5" s="32"/>
      <c r="L5" s="32"/>
      <c r="M5" s="32"/>
    </row>
    <row r="6" spans="1:61" x14ac:dyDescent="0.2">
      <c r="A6" s="43" t="s">
        <v>67</v>
      </c>
      <c r="B6" s="44">
        <v>73</v>
      </c>
      <c r="C6" s="45">
        <f t="shared" si="0"/>
        <v>10551</v>
      </c>
      <c r="D6" s="44">
        <v>9696</v>
      </c>
      <c r="E6" s="44">
        <v>855</v>
      </c>
      <c r="F6" s="46">
        <f t="shared" si="1"/>
        <v>10624</v>
      </c>
      <c r="G6" s="32">
        <f>B6/$F$6</f>
        <v>6.8712349397590357E-3</v>
      </c>
      <c r="H6" s="32">
        <f>C6/$F$6</f>
        <v>0.99312876506024095</v>
      </c>
      <c r="I6" s="32"/>
      <c r="J6" s="32"/>
      <c r="K6" s="32"/>
      <c r="L6" s="32"/>
      <c r="M6" s="32"/>
      <c r="AK6" s="30"/>
    </row>
    <row r="7" spans="1:61" x14ac:dyDescent="0.2">
      <c r="A7" s="43" t="s">
        <v>68</v>
      </c>
      <c r="B7" s="44">
        <v>1968</v>
      </c>
      <c r="C7" s="45">
        <f t="shared" si="0"/>
        <v>10007</v>
      </c>
      <c r="D7" s="44">
        <v>10007</v>
      </c>
      <c r="E7" s="44"/>
      <c r="F7" s="46">
        <f>B7+C7</f>
        <v>11975</v>
      </c>
      <c r="G7" s="32"/>
      <c r="H7" s="32">
        <f>D6/$C$6</f>
        <v>0.91896502701165761</v>
      </c>
      <c r="I7" s="32">
        <f>E6/$C$6</f>
        <v>8.1034972988342335E-2</v>
      </c>
    </row>
    <row r="8" spans="1:61" x14ac:dyDescent="0.2">
      <c r="A8" s="43" t="s">
        <v>69</v>
      </c>
      <c r="B8" s="44"/>
      <c r="C8" s="45">
        <f t="shared" si="0"/>
        <v>0</v>
      </c>
      <c r="D8" s="44"/>
      <c r="E8" s="44"/>
      <c r="F8" s="46">
        <f t="shared" si="1"/>
        <v>0</v>
      </c>
      <c r="G8" s="32"/>
      <c r="H8" s="32"/>
      <c r="I8" s="32"/>
      <c r="J8" s="32"/>
      <c r="K8" s="32"/>
    </row>
    <row r="9" spans="1:61" x14ac:dyDescent="0.2">
      <c r="A9" s="43" t="s">
        <v>70</v>
      </c>
      <c r="B9" s="44"/>
      <c r="C9" s="45">
        <f>D9+E9</f>
        <v>0</v>
      </c>
      <c r="D9" s="44"/>
      <c r="E9" s="44"/>
      <c r="F9" s="46">
        <f t="shared" si="1"/>
        <v>0</v>
      </c>
      <c r="G9" s="32"/>
      <c r="H9" s="32"/>
      <c r="I9" s="32"/>
      <c r="J9" s="32"/>
      <c r="K9" s="32"/>
    </row>
    <row r="10" spans="1:61" x14ac:dyDescent="0.2">
      <c r="A10" s="47" t="s">
        <v>71</v>
      </c>
      <c r="B10" s="44"/>
      <c r="C10" s="45">
        <f>D10+E10</f>
        <v>0</v>
      </c>
      <c r="D10" s="44"/>
      <c r="E10" s="44"/>
      <c r="F10" s="46">
        <f>B10+C10</f>
        <v>0</v>
      </c>
      <c r="G10" s="32"/>
      <c r="H10" s="32"/>
      <c r="I10" s="32"/>
      <c r="J10" s="32"/>
      <c r="K10" s="32"/>
    </row>
    <row r="11" spans="1:61" x14ac:dyDescent="0.2">
      <c r="A11" s="47" t="s">
        <v>72</v>
      </c>
      <c r="B11" s="44"/>
      <c r="C11" s="45">
        <f>D11+E11</f>
        <v>0</v>
      </c>
      <c r="D11" s="44"/>
      <c r="E11" s="44"/>
      <c r="F11" s="46">
        <f>B11+C11</f>
        <v>0</v>
      </c>
      <c r="G11" s="32"/>
      <c r="H11" s="32"/>
      <c r="I11" s="32"/>
      <c r="J11" s="48"/>
      <c r="K11" s="48"/>
    </row>
    <row r="12" spans="1:61" ht="15.75" x14ac:dyDescent="0.25">
      <c r="A12" s="47" t="s">
        <v>73</v>
      </c>
      <c r="B12" s="325"/>
      <c r="C12" s="45">
        <f>D12+E12</f>
        <v>0</v>
      </c>
      <c r="D12" s="44"/>
      <c r="E12" s="44"/>
      <c r="F12" s="46">
        <f>B12+C12</f>
        <v>0</v>
      </c>
      <c r="G12" s="32"/>
      <c r="H12" s="32"/>
      <c r="I12" s="32"/>
      <c r="J12" s="48"/>
      <c r="K12" s="48"/>
      <c r="AK12" s="30"/>
    </row>
    <row r="13" spans="1:61" x14ac:dyDescent="0.2">
      <c r="A13" s="47" t="s">
        <v>74</v>
      </c>
      <c r="B13" s="44"/>
      <c r="C13" s="45">
        <f t="shared" si="0"/>
        <v>0</v>
      </c>
      <c r="D13" s="44"/>
      <c r="E13" s="44"/>
      <c r="F13" s="46">
        <f t="shared" si="1"/>
        <v>0</v>
      </c>
      <c r="G13" s="32"/>
      <c r="H13" s="32"/>
      <c r="I13" s="32"/>
      <c r="J13" s="48"/>
      <c r="K13" s="48"/>
    </row>
    <row r="14" spans="1:61" x14ac:dyDescent="0.2">
      <c r="A14" s="47" t="s">
        <v>75</v>
      </c>
      <c r="B14" s="44"/>
      <c r="C14" s="45">
        <f t="shared" si="0"/>
        <v>0</v>
      </c>
      <c r="D14" s="44"/>
      <c r="E14" s="44"/>
      <c r="F14" s="46">
        <f t="shared" si="1"/>
        <v>0</v>
      </c>
      <c r="G14" s="32"/>
      <c r="H14" s="32"/>
      <c r="I14" s="32"/>
      <c r="J14" s="48"/>
    </row>
    <row r="15" spans="1:61" x14ac:dyDescent="0.2">
      <c r="A15" s="47" t="s">
        <v>76</v>
      </c>
      <c r="B15" s="44"/>
      <c r="C15" s="45">
        <f t="shared" si="0"/>
        <v>0</v>
      </c>
      <c r="D15" s="44"/>
      <c r="E15" s="44"/>
      <c r="F15" s="46">
        <f t="shared" si="1"/>
        <v>0</v>
      </c>
      <c r="G15" s="32"/>
      <c r="H15" s="32"/>
      <c r="I15" s="32"/>
    </row>
    <row r="16" spans="1:61" ht="15.75" thickBot="1" x14ac:dyDescent="0.25">
      <c r="A16" s="49" t="s">
        <v>0</v>
      </c>
      <c r="B16" s="50">
        <f>SUM(B4:B15)</f>
        <v>4792</v>
      </c>
      <c r="C16" s="50">
        <f>SUM(C4:C15)</f>
        <v>33998</v>
      </c>
      <c r="D16" s="50">
        <f>SUM(D4:D15)</f>
        <v>30594</v>
      </c>
      <c r="E16" s="50">
        <f>SUM(E4:E15)</f>
        <v>3404</v>
      </c>
      <c r="F16" s="51">
        <f t="shared" si="1"/>
        <v>38790</v>
      </c>
      <c r="G16" s="32"/>
      <c r="H16" s="32"/>
      <c r="I16" s="32"/>
    </row>
    <row r="17" spans="1:61" s="35" customFormat="1" ht="21" customHeight="1" thickBot="1" x14ac:dyDescent="0.25">
      <c r="A17" s="342" t="s">
        <v>200</v>
      </c>
      <c r="B17" s="343"/>
      <c r="C17" s="343"/>
      <c r="D17" s="343"/>
      <c r="E17" s="343"/>
      <c r="F17" s="344"/>
      <c r="G17" s="32"/>
      <c r="H17" s="32"/>
      <c r="I17" s="3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</row>
    <row r="18" spans="1:61" ht="15.75" thickBot="1" x14ac:dyDescent="0.25">
      <c r="A18" s="52"/>
      <c r="B18" s="53" t="s">
        <v>77</v>
      </c>
      <c r="C18" s="53" t="s">
        <v>78</v>
      </c>
      <c r="D18" s="53" t="s">
        <v>63</v>
      </c>
      <c r="E18" s="53" t="s">
        <v>64</v>
      </c>
      <c r="F18" s="38" t="s">
        <v>0</v>
      </c>
      <c r="G18" s="32"/>
      <c r="H18" s="32"/>
      <c r="I18" s="32"/>
      <c r="J18" s="54"/>
    </row>
    <row r="19" spans="1:61" x14ac:dyDescent="0.2">
      <c r="A19" s="55" t="s">
        <v>65</v>
      </c>
      <c r="B19" s="56">
        <v>1615</v>
      </c>
      <c r="C19" s="57">
        <f t="shared" ref="C19:C30" si="2">D19+E19</f>
        <v>8348</v>
      </c>
      <c r="D19" s="56">
        <v>7151</v>
      </c>
      <c r="E19" s="56">
        <f>1178*0+(1197)</f>
        <v>1197</v>
      </c>
      <c r="F19" s="58">
        <f>B19+C19</f>
        <v>9963</v>
      </c>
      <c r="G19" s="32"/>
      <c r="H19" s="32"/>
      <c r="I19" s="32"/>
      <c r="J19" s="32"/>
      <c r="K19" s="32"/>
    </row>
    <row r="20" spans="1:61" x14ac:dyDescent="0.2">
      <c r="A20" s="43" t="s">
        <v>66</v>
      </c>
      <c r="B20" s="44">
        <v>765</v>
      </c>
      <c r="C20" s="45">
        <f t="shared" si="2"/>
        <v>5301</v>
      </c>
      <c r="D20" s="44">
        <v>3959</v>
      </c>
      <c r="E20" s="44">
        <v>1342</v>
      </c>
      <c r="F20" s="46">
        <f t="shared" ref="F20:F31" si="3">B20+C20</f>
        <v>6066</v>
      </c>
      <c r="G20" s="32"/>
      <c r="H20" s="32"/>
      <c r="I20" s="32"/>
      <c r="J20" s="32"/>
      <c r="K20" s="32"/>
      <c r="AK20" s="30"/>
    </row>
    <row r="21" spans="1:61" x14ac:dyDescent="0.2">
      <c r="A21" s="43" t="s">
        <v>67</v>
      </c>
      <c r="B21" s="44">
        <v>135</v>
      </c>
      <c r="C21" s="45">
        <f t="shared" si="2"/>
        <v>9982</v>
      </c>
      <c r="D21" s="44">
        <v>9124</v>
      </c>
      <c r="E21" s="44">
        <v>858</v>
      </c>
      <c r="F21" s="46">
        <f t="shared" si="3"/>
        <v>10117</v>
      </c>
      <c r="G21" s="32">
        <f>B21/$F$21</f>
        <v>1.3343876643273698E-2</v>
      </c>
      <c r="H21" s="32">
        <f>C21/$F$21</f>
        <v>0.98665612335672626</v>
      </c>
      <c r="I21" s="32"/>
      <c r="J21" s="59"/>
      <c r="AK21" s="30"/>
    </row>
    <row r="22" spans="1:61" x14ac:dyDescent="0.2">
      <c r="A22" s="43" t="s">
        <v>68</v>
      </c>
      <c r="B22" s="44">
        <v>2166</v>
      </c>
      <c r="C22" s="45">
        <f t="shared" si="2"/>
        <v>10638</v>
      </c>
      <c r="D22" s="44">
        <v>10638</v>
      </c>
      <c r="E22" s="44"/>
      <c r="F22" s="46">
        <f t="shared" si="3"/>
        <v>12804</v>
      </c>
      <c r="G22" s="32"/>
      <c r="H22" s="32">
        <f>D21/$C$21</f>
        <v>0.91404528150671205</v>
      </c>
      <c r="I22" s="32">
        <f>E21/$C$21</f>
        <v>8.5954718493287924E-2</v>
      </c>
      <c r="J22" s="54"/>
    </row>
    <row r="23" spans="1:61" x14ac:dyDescent="0.2">
      <c r="A23" s="43" t="s">
        <v>69</v>
      </c>
      <c r="B23" s="44"/>
      <c r="C23" s="45">
        <f t="shared" si="2"/>
        <v>0</v>
      </c>
      <c r="D23" s="44"/>
      <c r="E23" s="44"/>
      <c r="F23" s="46">
        <f>B23+C23</f>
        <v>0</v>
      </c>
      <c r="G23" s="32"/>
      <c r="H23" s="32"/>
      <c r="I23" s="32"/>
      <c r="J23" s="32"/>
      <c r="K23" s="32"/>
      <c r="L23" s="32"/>
    </row>
    <row r="24" spans="1:61" x14ac:dyDescent="0.2">
      <c r="A24" s="43" t="s">
        <v>70</v>
      </c>
      <c r="B24" s="44"/>
      <c r="C24" s="45">
        <f t="shared" si="2"/>
        <v>0</v>
      </c>
      <c r="D24" s="44"/>
      <c r="E24" s="44"/>
      <c r="F24" s="46">
        <f t="shared" si="3"/>
        <v>0</v>
      </c>
      <c r="G24" s="32"/>
      <c r="H24" s="32"/>
      <c r="I24" s="32"/>
      <c r="J24" s="32"/>
      <c r="K24" s="32"/>
    </row>
    <row r="25" spans="1:61" x14ac:dyDescent="0.2">
      <c r="A25" s="47" t="s">
        <v>71</v>
      </c>
      <c r="B25" s="44"/>
      <c r="C25" s="45">
        <f t="shared" si="2"/>
        <v>0</v>
      </c>
      <c r="D25" s="44"/>
      <c r="E25" s="44"/>
      <c r="F25" s="46">
        <f t="shared" si="3"/>
        <v>0</v>
      </c>
      <c r="G25" s="32"/>
      <c r="H25" s="32"/>
      <c r="I25" s="32"/>
      <c r="J25" s="32"/>
      <c r="K25" s="32"/>
    </row>
    <row r="26" spans="1:61" x14ac:dyDescent="0.2">
      <c r="A26" s="47" t="s">
        <v>72</v>
      </c>
      <c r="B26" s="44"/>
      <c r="C26" s="45">
        <f t="shared" si="2"/>
        <v>0</v>
      </c>
      <c r="D26" s="44"/>
      <c r="E26" s="44"/>
      <c r="F26" s="46">
        <f t="shared" si="3"/>
        <v>0</v>
      </c>
      <c r="G26" s="32"/>
      <c r="H26" s="32"/>
      <c r="I26" s="32"/>
      <c r="J26" s="48"/>
      <c r="K26" s="48"/>
    </row>
    <row r="27" spans="1:61" x14ac:dyDescent="0.2">
      <c r="A27" s="47" t="s">
        <v>73</v>
      </c>
      <c r="B27" s="44"/>
      <c r="C27" s="45">
        <f t="shared" si="2"/>
        <v>0</v>
      </c>
      <c r="D27" s="44"/>
      <c r="E27" s="326"/>
      <c r="F27" s="46">
        <f t="shared" si="3"/>
        <v>0</v>
      </c>
      <c r="G27" s="32"/>
      <c r="H27" s="32"/>
      <c r="I27" s="32"/>
      <c r="J27" s="48"/>
      <c r="K27" s="48"/>
    </row>
    <row r="28" spans="1:61" x14ac:dyDescent="0.2">
      <c r="A28" s="47" t="s">
        <v>74</v>
      </c>
      <c r="B28" s="44"/>
      <c r="C28" s="45">
        <f t="shared" si="2"/>
        <v>0</v>
      </c>
      <c r="D28" s="44"/>
      <c r="E28" s="44"/>
      <c r="F28" s="46">
        <f>B28+C28</f>
        <v>0</v>
      </c>
      <c r="G28" s="32"/>
      <c r="H28" s="32"/>
      <c r="I28" s="32"/>
      <c r="J28" s="48"/>
      <c r="K28" s="48"/>
    </row>
    <row r="29" spans="1:61" x14ac:dyDescent="0.2">
      <c r="A29" s="47" t="s">
        <v>75</v>
      </c>
      <c r="B29" s="44"/>
      <c r="C29" s="45">
        <f t="shared" si="2"/>
        <v>0</v>
      </c>
      <c r="D29" s="44"/>
      <c r="E29" s="44"/>
      <c r="F29" s="46">
        <f t="shared" si="3"/>
        <v>0</v>
      </c>
      <c r="G29" s="32"/>
      <c r="H29" s="32"/>
      <c r="I29" s="32"/>
    </row>
    <row r="30" spans="1:61" x14ac:dyDescent="0.2">
      <c r="A30" s="47" t="s">
        <v>76</v>
      </c>
      <c r="B30" s="44"/>
      <c r="C30" s="45">
        <f t="shared" si="2"/>
        <v>0</v>
      </c>
      <c r="D30" s="44"/>
      <c r="E30" s="44"/>
      <c r="F30" s="46">
        <f>B30+C30</f>
        <v>0</v>
      </c>
      <c r="G30" s="32"/>
      <c r="H30" s="32"/>
      <c r="I30" s="32"/>
    </row>
    <row r="31" spans="1:61" ht="15.75" thickBot="1" x14ac:dyDescent="0.25">
      <c r="A31" s="60" t="s">
        <v>0</v>
      </c>
      <c r="B31" s="61">
        <f>SUM(B19:B30)</f>
        <v>4681</v>
      </c>
      <c r="C31" s="61">
        <f>SUM(C19:C30)</f>
        <v>34269</v>
      </c>
      <c r="D31" s="61">
        <f>SUM(D19:D30)</f>
        <v>30872</v>
      </c>
      <c r="E31" s="61">
        <f>SUM(E19:E30)</f>
        <v>3397</v>
      </c>
      <c r="F31" s="62">
        <f t="shared" si="3"/>
        <v>38950</v>
      </c>
      <c r="G31" s="32"/>
      <c r="H31" s="32"/>
      <c r="I31" s="32"/>
    </row>
    <row r="32" spans="1:61" s="35" customFormat="1" x14ac:dyDescent="0.2">
      <c r="A32" s="63" t="s">
        <v>79</v>
      </c>
      <c r="B32" s="64"/>
      <c r="C32" s="64"/>
      <c r="D32" s="64"/>
      <c r="E32" s="64"/>
      <c r="F32" s="65"/>
      <c r="G32" s="32"/>
      <c r="H32" s="32"/>
      <c r="I32" s="32"/>
      <c r="J32" s="33"/>
      <c r="K32" s="33"/>
      <c r="L32" s="33"/>
      <c r="M32" s="33"/>
      <c r="N32" s="33"/>
      <c r="O32" s="33"/>
      <c r="P32" s="29"/>
      <c r="Q32" s="29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s="35" customFormat="1" ht="15.75" thickBot="1" x14ac:dyDescent="0.25">
      <c r="A33" s="66" t="s">
        <v>80</v>
      </c>
      <c r="B33" s="67"/>
      <c r="C33" s="67"/>
      <c r="D33" s="67"/>
      <c r="E33" s="67"/>
      <c r="F33" s="68"/>
      <c r="G33" s="32"/>
      <c r="H33" s="32"/>
      <c r="I33" s="32"/>
      <c r="J33" s="33"/>
      <c r="K33" s="33"/>
      <c r="L33" s="33"/>
      <c r="M33" s="33"/>
      <c r="N33" s="33"/>
      <c r="O33" s="33"/>
      <c r="P33" s="29"/>
      <c r="Q33" s="29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ht="15.75" thickBot="1" x14ac:dyDescent="0.25">
      <c r="A34" s="52"/>
      <c r="B34" s="53" t="s">
        <v>77</v>
      </c>
      <c r="C34" s="53" t="s">
        <v>78</v>
      </c>
      <c r="D34" s="53" t="s">
        <v>63</v>
      </c>
      <c r="E34" s="53" t="s">
        <v>64</v>
      </c>
      <c r="F34" s="69" t="s">
        <v>0</v>
      </c>
      <c r="G34" s="32"/>
      <c r="H34" s="32"/>
      <c r="I34" s="32"/>
    </row>
    <row r="35" spans="1:61" x14ac:dyDescent="0.2">
      <c r="A35" s="39" t="s">
        <v>65</v>
      </c>
      <c r="B35" s="40">
        <f>334+336</f>
        <v>670</v>
      </c>
      <c r="C35" s="41">
        <f t="shared" ref="C35:C46" si="4">D35+E35</f>
        <v>4099</v>
      </c>
      <c r="D35" s="40">
        <f>1511+1374</f>
        <v>2885</v>
      </c>
      <c r="E35" s="40">
        <f>(560+635)*0+570+644</f>
        <v>1214</v>
      </c>
      <c r="F35" s="42">
        <f t="shared" ref="F35:F47" si="5">B35+C35</f>
        <v>4769</v>
      </c>
      <c r="G35" s="32">
        <f>F35/F95</f>
        <v>0.95686195826645259</v>
      </c>
      <c r="H35" s="32"/>
      <c r="I35" s="32"/>
    </row>
    <row r="36" spans="1:61" x14ac:dyDescent="0.2">
      <c r="A36" s="43" t="s">
        <v>66</v>
      </c>
      <c r="B36" s="44">
        <f>344+389</f>
        <v>733</v>
      </c>
      <c r="C36" s="45">
        <f t="shared" si="4"/>
        <v>4595</v>
      </c>
      <c r="D36" s="40">
        <f>1689+1571</f>
        <v>3260</v>
      </c>
      <c r="E36" s="44">
        <f>653+682</f>
        <v>1335</v>
      </c>
      <c r="F36" s="46">
        <f t="shared" si="5"/>
        <v>5328</v>
      </c>
      <c r="G36" s="32">
        <f t="shared" ref="G36:G37" si="6">F36/F96</f>
        <v>0.96017300414489093</v>
      </c>
      <c r="H36" s="32"/>
      <c r="I36" s="32"/>
    </row>
    <row r="37" spans="1:61" x14ac:dyDescent="0.2">
      <c r="A37" s="43" t="s">
        <v>67</v>
      </c>
      <c r="B37" s="44">
        <f>33+24</f>
        <v>57</v>
      </c>
      <c r="C37" s="45">
        <f t="shared" si="4"/>
        <v>5237</v>
      </c>
      <c r="D37" s="44">
        <f>2129+2253</f>
        <v>4382</v>
      </c>
      <c r="E37" s="44">
        <f>415+440</f>
        <v>855</v>
      </c>
      <c r="F37" s="46">
        <f t="shared" si="5"/>
        <v>5294</v>
      </c>
      <c r="G37" s="32">
        <f t="shared" si="6"/>
        <v>0.98218923933209645</v>
      </c>
      <c r="H37" s="32"/>
      <c r="I37" s="32"/>
    </row>
    <row r="38" spans="1:61" x14ac:dyDescent="0.2">
      <c r="A38" s="43" t="s">
        <v>68</v>
      </c>
      <c r="B38" s="44">
        <f>434+467</f>
        <v>901</v>
      </c>
      <c r="C38" s="45">
        <f t="shared" si="4"/>
        <v>4463</v>
      </c>
      <c r="D38" s="44">
        <f>2174+2289</f>
        <v>4463</v>
      </c>
      <c r="E38" s="44"/>
      <c r="F38" s="46">
        <f t="shared" si="5"/>
        <v>5364</v>
      </c>
      <c r="G38" s="32"/>
      <c r="H38" s="32"/>
      <c r="I38" s="32"/>
    </row>
    <row r="39" spans="1:61" x14ac:dyDescent="0.2">
      <c r="A39" s="43" t="s">
        <v>69</v>
      </c>
      <c r="B39" s="44"/>
      <c r="C39" s="45">
        <f t="shared" si="4"/>
        <v>0</v>
      </c>
      <c r="D39" s="44"/>
      <c r="E39" s="44"/>
      <c r="F39" s="46">
        <f t="shared" si="5"/>
        <v>0</v>
      </c>
      <c r="G39" s="32"/>
      <c r="H39" s="32"/>
      <c r="I39" s="32"/>
    </row>
    <row r="40" spans="1:61" x14ac:dyDescent="0.2">
      <c r="A40" s="43" t="s">
        <v>70</v>
      </c>
      <c r="B40" s="44"/>
      <c r="C40" s="45">
        <f t="shared" si="4"/>
        <v>0</v>
      </c>
      <c r="D40" s="44"/>
      <c r="E40" s="44"/>
      <c r="F40" s="46">
        <f t="shared" si="5"/>
        <v>0</v>
      </c>
      <c r="G40" s="32"/>
      <c r="H40" s="32"/>
      <c r="I40" s="32"/>
    </row>
    <row r="41" spans="1:61" x14ac:dyDescent="0.2">
      <c r="A41" s="47" t="s">
        <v>71</v>
      </c>
      <c r="B41" s="44"/>
      <c r="C41" s="45">
        <f t="shared" si="4"/>
        <v>0</v>
      </c>
      <c r="D41" s="44"/>
      <c r="E41" s="44"/>
      <c r="F41" s="46">
        <f t="shared" si="5"/>
        <v>0</v>
      </c>
      <c r="G41" s="32"/>
      <c r="H41" s="32"/>
      <c r="I41" s="32"/>
    </row>
    <row r="42" spans="1:61" x14ac:dyDescent="0.2">
      <c r="A42" s="47" t="s">
        <v>72</v>
      </c>
      <c r="B42" s="44"/>
      <c r="C42" s="45">
        <f t="shared" si="4"/>
        <v>0</v>
      </c>
      <c r="D42" s="44"/>
      <c r="E42" s="44"/>
      <c r="F42" s="46">
        <f t="shared" si="5"/>
        <v>0</v>
      </c>
      <c r="G42" s="32"/>
      <c r="H42" s="32"/>
      <c r="I42" s="32"/>
    </row>
    <row r="43" spans="1:61" x14ac:dyDescent="0.2">
      <c r="A43" s="47" t="s">
        <v>73</v>
      </c>
      <c r="B43" s="44"/>
      <c r="C43" s="45">
        <f t="shared" si="4"/>
        <v>0</v>
      </c>
      <c r="D43" s="44"/>
      <c r="E43" s="44"/>
      <c r="F43" s="46">
        <f t="shared" si="5"/>
        <v>0</v>
      </c>
      <c r="G43" s="32"/>
      <c r="H43" s="32"/>
      <c r="I43" s="32"/>
    </row>
    <row r="44" spans="1:61" x14ac:dyDescent="0.2">
      <c r="A44" s="47" t="s">
        <v>74</v>
      </c>
      <c r="B44" s="44"/>
      <c r="C44" s="45">
        <f t="shared" si="4"/>
        <v>0</v>
      </c>
      <c r="D44" s="44"/>
      <c r="E44" s="44"/>
      <c r="F44" s="46">
        <f t="shared" si="5"/>
        <v>0</v>
      </c>
      <c r="G44" s="32"/>
      <c r="H44" s="32"/>
      <c r="I44" s="32"/>
    </row>
    <row r="45" spans="1:61" x14ac:dyDescent="0.2">
      <c r="A45" s="47" t="s">
        <v>75</v>
      </c>
      <c r="B45" s="44"/>
      <c r="C45" s="45">
        <f t="shared" si="4"/>
        <v>0</v>
      </c>
      <c r="D45" s="44"/>
      <c r="E45" s="44"/>
      <c r="F45" s="46">
        <f t="shared" si="5"/>
        <v>0</v>
      </c>
      <c r="G45" s="32"/>
      <c r="H45" s="32"/>
      <c r="I45" s="32"/>
    </row>
    <row r="46" spans="1:61" x14ac:dyDescent="0.2">
      <c r="A46" s="47" t="s">
        <v>76</v>
      </c>
      <c r="B46" s="44"/>
      <c r="C46" s="45">
        <f t="shared" si="4"/>
        <v>0</v>
      </c>
      <c r="D46" s="44"/>
      <c r="E46" s="44"/>
      <c r="F46" s="46">
        <f t="shared" si="5"/>
        <v>0</v>
      </c>
      <c r="G46" s="32"/>
      <c r="H46" s="32"/>
      <c r="I46" s="32"/>
    </row>
    <row r="47" spans="1:61" ht="15.75" thickBot="1" x14ac:dyDescent="0.25">
      <c r="A47" s="60" t="s">
        <v>0</v>
      </c>
      <c r="B47" s="61">
        <f>SUM(B35:B46)</f>
        <v>2361</v>
      </c>
      <c r="C47" s="61">
        <f>SUM(C35:C46)</f>
        <v>18394</v>
      </c>
      <c r="D47" s="61">
        <f>SUM(D35:D46)</f>
        <v>14990</v>
      </c>
      <c r="E47" s="61">
        <f>SUM(E35:E46)</f>
        <v>3404</v>
      </c>
      <c r="F47" s="62">
        <f t="shared" si="5"/>
        <v>20755</v>
      </c>
      <c r="G47" s="32"/>
      <c r="H47" s="32"/>
      <c r="I47" s="32"/>
    </row>
    <row r="48" spans="1:61" s="35" customFormat="1" ht="22.5" customHeight="1" thickBot="1" x14ac:dyDescent="0.25">
      <c r="A48" s="71" t="s">
        <v>81</v>
      </c>
      <c r="B48" s="64"/>
      <c r="C48" s="64"/>
      <c r="D48" s="64"/>
      <c r="E48" s="64"/>
      <c r="F48" s="65"/>
      <c r="G48" s="32"/>
      <c r="H48" s="32"/>
      <c r="I48" s="32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61" ht="15.75" thickBot="1" x14ac:dyDescent="0.25">
      <c r="A49" s="52"/>
      <c r="B49" s="53" t="s">
        <v>77</v>
      </c>
      <c r="C49" s="53" t="s">
        <v>78</v>
      </c>
      <c r="D49" s="53" t="s">
        <v>63</v>
      </c>
      <c r="E49" s="53" t="s">
        <v>64</v>
      </c>
      <c r="F49" s="72" t="s">
        <v>0</v>
      </c>
      <c r="G49" s="32"/>
      <c r="H49" s="32"/>
      <c r="I49" s="32"/>
    </row>
    <row r="50" spans="1:61" x14ac:dyDescent="0.2">
      <c r="A50" s="39" t="s">
        <v>65</v>
      </c>
      <c r="B50" s="73">
        <f>88+23</f>
        <v>111</v>
      </c>
      <c r="C50" s="74">
        <f t="shared" ref="C50:C61" si="7">D50+E50</f>
        <v>104</v>
      </c>
      <c r="D50" s="73">
        <f>90+14</f>
        <v>104</v>
      </c>
      <c r="E50" s="73">
        <v>0</v>
      </c>
      <c r="F50" s="75">
        <f t="shared" ref="F50:F62" si="8">B50+C50</f>
        <v>215</v>
      </c>
      <c r="G50" s="32">
        <f>F50/F95</f>
        <v>4.313804173354735E-2</v>
      </c>
      <c r="H50" s="32"/>
      <c r="I50" s="32"/>
    </row>
    <row r="51" spans="1:61" x14ac:dyDescent="0.2">
      <c r="A51" s="43" t="s">
        <v>66</v>
      </c>
      <c r="B51" s="76">
        <f>112+28</f>
        <v>140</v>
      </c>
      <c r="C51" s="77">
        <f t="shared" si="7"/>
        <v>81</v>
      </c>
      <c r="D51" s="76">
        <f>60+21</f>
        <v>81</v>
      </c>
      <c r="E51" s="76">
        <v>0</v>
      </c>
      <c r="F51" s="78">
        <f t="shared" si="8"/>
        <v>221</v>
      </c>
      <c r="G51" s="32">
        <f t="shared" ref="G51:G52" si="9">F51/F96</f>
        <v>3.9826995855109029E-2</v>
      </c>
      <c r="H51" s="32"/>
      <c r="I51" s="32"/>
    </row>
    <row r="52" spans="1:61" x14ac:dyDescent="0.2">
      <c r="A52" s="43" t="s">
        <v>67</v>
      </c>
      <c r="B52" s="76">
        <f>1+0</f>
        <v>1</v>
      </c>
      <c r="C52" s="77">
        <f t="shared" si="7"/>
        <v>95</v>
      </c>
      <c r="D52" s="76">
        <f>82+13</f>
        <v>95</v>
      </c>
      <c r="E52" s="76">
        <v>0</v>
      </c>
      <c r="F52" s="78">
        <f t="shared" si="8"/>
        <v>96</v>
      </c>
      <c r="G52" s="32">
        <f t="shared" si="9"/>
        <v>1.7810760667903526E-2</v>
      </c>
      <c r="H52" s="32"/>
      <c r="I52" s="32"/>
    </row>
    <row r="53" spans="1:61" x14ac:dyDescent="0.2">
      <c r="A53" s="43" t="s">
        <v>68</v>
      </c>
      <c r="B53" s="76">
        <f>81+19</f>
        <v>100</v>
      </c>
      <c r="C53" s="77">
        <f t="shared" si="7"/>
        <v>72</v>
      </c>
      <c r="D53" s="76">
        <f>60+12</f>
        <v>72</v>
      </c>
      <c r="E53" s="76"/>
      <c r="F53" s="78">
        <f t="shared" si="8"/>
        <v>172</v>
      </c>
      <c r="G53" s="32"/>
      <c r="H53" s="32"/>
      <c r="I53" s="32"/>
    </row>
    <row r="54" spans="1:61" x14ac:dyDescent="0.2">
      <c r="A54" s="43" t="s">
        <v>69</v>
      </c>
      <c r="B54" s="76"/>
      <c r="C54" s="77">
        <f t="shared" si="7"/>
        <v>0</v>
      </c>
      <c r="D54" s="76"/>
      <c r="E54" s="76"/>
      <c r="F54" s="78">
        <f t="shared" si="8"/>
        <v>0</v>
      </c>
      <c r="G54" s="32"/>
      <c r="H54" s="32"/>
      <c r="I54" s="32"/>
    </row>
    <row r="55" spans="1:61" x14ac:dyDescent="0.2">
      <c r="A55" s="43" t="s">
        <v>70</v>
      </c>
      <c r="B55" s="76"/>
      <c r="C55" s="77">
        <f t="shared" si="7"/>
        <v>0</v>
      </c>
      <c r="D55" s="76"/>
      <c r="E55" s="76"/>
      <c r="F55" s="78">
        <f t="shared" si="8"/>
        <v>0</v>
      </c>
      <c r="G55" s="32"/>
      <c r="H55" s="32"/>
    </row>
    <row r="56" spans="1:61" x14ac:dyDescent="0.2">
      <c r="A56" s="47" t="s">
        <v>71</v>
      </c>
      <c r="B56" s="327"/>
      <c r="C56" s="77">
        <f t="shared" si="7"/>
        <v>0</v>
      </c>
      <c r="D56" s="327"/>
      <c r="E56" s="327"/>
      <c r="F56" s="78">
        <f t="shared" si="8"/>
        <v>0</v>
      </c>
      <c r="G56" s="32"/>
      <c r="H56" s="32"/>
    </row>
    <row r="57" spans="1:61" x14ac:dyDescent="0.2">
      <c r="A57" s="47" t="s">
        <v>72</v>
      </c>
      <c r="B57" s="327"/>
      <c r="C57" s="77">
        <f t="shared" si="7"/>
        <v>0</v>
      </c>
      <c r="D57" s="327"/>
      <c r="E57" s="327"/>
      <c r="F57" s="78">
        <f t="shared" si="8"/>
        <v>0</v>
      </c>
      <c r="G57" s="32"/>
      <c r="H57" s="32"/>
    </row>
    <row r="58" spans="1:61" x14ac:dyDescent="0.2">
      <c r="A58" s="47" t="s">
        <v>73</v>
      </c>
      <c r="B58" s="327"/>
      <c r="C58" s="77">
        <f t="shared" si="7"/>
        <v>0</v>
      </c>
      <c r="D58" s="44"/>
      <c r="E58" s="327"/>
      <c r="F58" s="78">
        <f t="shared" si="8"/>
        <v>0</v>
      </c>
      <c r="G58" s="32"/>
      <c r="H58" s="32"/>
    </row>
    <row r="59" spans="1:61" x14ac:dyDescent="0.2">
      <c r="A59" s="47" t="s">
        <v>74</v>
      </c>
      <c r="B59" s="76"/>
      <c r="C59" s="77">
        <f t="shared" si="7"/>
        <v>0</v>
      </c>
      <c r="D59" s="44"/>
      <c r="E59" s="76"/>
      <c r="F59" s="78">
        <f t="shared" si="8"/>
        <v>0</v>
      </c>
      <c r="G59" s="32"/>
      <c r="H59" s="32"/>
    </row>
    <row r="60" spans="1:61" x14ac:dyDescent="0.2">
      <c r="A60" s="47" t="s">
        <v>75</v>
      </c>
      <c r="B60" s="76"/>
      <c r="C60" s="77">
        <f t="shared" si="7"/>
        <v>0</v>
      </c>
      <c r="D60" s="44"/>
      <c r="E60" s="76"/>
      <c r="F60" s="78">
        <f t="shared" si="8"/>
        <v>0</v>
      </c>
      <c r="G60" s="32"/>
      <c r="H60" s="32"/>
    </row>
    <row r="61" spans="1:61" x14ac:dyDescent="0.2">
      <c r="A61" s="47" t="s">
        <v>76</v>
      </c>
      <c r="B61" s="76"/>
      <c r="C61" s="77">
        <f t="shared" si="7"/>
        <v>0</v>
      </c>
      <c r="D61" s="76"/>
      <c r="E61" s="76"/>
      <c r="F61" s="78">
        <f t="shared" si="8"/>
        <v>0</v>
      </c>
      <c r="G61" s="32"/>
    </row>
    <row r="62" spans="1:61" ht="15.75" thickBot="1" x14ac:dyDescent="0.25">
      <c r="A62" s="60" t="s">
        <v>0</v>
      </c>
      <c r="B62" s="61">
        <f>SUM(B50:B61)</f>
        <v>352</v>
      </c>
      <c r="C62" s="61">
        <f>SUM(C50:C61)</f>
        <v>352</v>
      </c>
      <c r="D62" s="61">
        <f>SUM(D50:D61)</f>
        <v>352</v>
      </c>
      <c r="E62" s="79">
        <f>SUM(E50:E61)</f>
        <v>0</v>
      </c>
      <c r="F62" s="61">
        <f t="shared" si="8"/>
        <v>704</v>
      </c>
      <c r="G62" s="70"/>
    </row>
    <row r="63" spans="1:61" s="35" customFormat="1" ht="25.5" customHeight="1" thickBot="1" x14ac:dyDescent="0.25">
      <c r="A63" s="80" t="s">
        <v>82</v>
      </c>
      <c r="B63" s="64"/>
      <c r="C63" s="64"/>
      <c r="D63" s="64"/>
      <c r="E63" s="64"/>
      <c r="F63" s="65"/>
      <c r="G63" s="33"/>
      <c r="H63" s="29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</row>
    <row r="64" spans="1:61" ht="15.75" thickBot="1" x14ac:dyDescent="0.25">
      <c r="A64" s="81"/>
      <c r="B64" s="82" t="s">
        <v>77</v>
      </c>
      <c r="C64" s="82" t="s">
        <v>78</v>
      </c>
      <c r="D64" s="82" t="s">
        <v>63</v>
      </c>
      <c r="E64" s="82" t="s">
        <v>64</v>
      </c>
      <c r="F64" s="72" t="s">
        <v>0</v>
      </c>
      <c r="H64" s="33"/>
    </row>
    <row r="65" spans="1:11" x14ac:dyDescent="0.2">
      <c r="A65" s="39" t="s">
        <v>65</v>
      </c>
      <c r="B65" s="40">
        <v>96</v>
      </c>
      <c r="C65" s="41">
        <f t="shared" ref="C65:C76" si="10">D65+E65</f>
        <v>2084</v>
      </c>
      <c r="D65" s="40">
        <v>988</v>
      </c>
      <c r="E65" s="40">
        <f>1077*0+(1096)</f>
        <v>1096</v>
      </c>
      <c r="F65" s="42">
        <f t="shared" ref="F65:F77" si="11">B65+C65</f>
        <v>2180</v>
      </c>
      <c r="G65" s="33"/>
      <c r="I65" s="33"/>
    </row>
    <row r="66" spans="1:11" x14ac:dyDescent="0.2">
      <c r="A66" s="43" t="s">
        <v>66</v>
      </c>
      <c r="B66" s="40">
        <v>49</v>
      </c>
      <c r="C66" s="45">
        <f t="shared" si="10"/>
        <v>2240</v>
      </c>
      <c r="D66" s="40">
        <v>1096</v>
      </c>
      <c r="E66" s="40">
        <v>1144</v>
      </c>
      <c r="F66" s="46">
        <f t="shared" si="11"/>
        <v>2289</v>
      </c>
      <c r="H66" s="33"/>
    </row>
    <row r="67" spans="1:11" x14ac:dyDescent="0.2">
      <c r="A67" s="43" t="s">
        <v>67</v>
      </c>
      <c r="B67" s="40">
        <v>6</v>
      </c>
      <c r="C67" s="45">
        <f t="shared" si="10"/>
        <v>2203</v>
      </c>
      <c r="D67" s="40">
        <v>1510</v>
      </c>
      <c r="E67" s="40">
        <v>693</v>
      </c>
      <c r="F67" s="46">
        <f t="shared" si="11"/>
        <v>2209</v>
      </c>
      <c r="G67" s="257"/>
      <c r="H67" s="257"/>
      <c r="I67" s="33"/>
    </row>
    <row r="68" spans="1:11" x14ac:dyDescent="0.2">
      <c r="A68" s="43" t="s">
        <v>68</v>
      </c>
      <c r="B68" s="40">
        <v>48</v>
      </c>
      <c r="C68" s="45">
        <f t="shared" si="10"/>
        <v>1606</v>
      </c>
      <c r="D68" s="40">
        <v>1606</v>
      </c>
      <c r="E68" s="40"/>
      <c r="F68" s="46">
        <f t="shared" si="11"/>
        <v>1654</v>
      </c>
      <c r="G68" s="70"/>
      <c r="H68" s="70"/>
    </row>
    <row r="69" spans="1:11" x14ac:dyDescent="0.2">
      <c r="A69" s="43" t="s">
        <v>69</v>
      </c>
      <c r="B69" s="40"/>
      <c r="C69" s="45">
        <f t="shared" si="10"/>
        <v>0</v>
      </c>
      <c r="D69" s="40"/>
      <c r="E69" s="40"/>
      <c r="F69" s="46">
        <f t="shared" si="11"/>
        <v>0</v>
      </c>
      <c r="G69" s="257"/>
      <c r="H69" s="257"/>
      <c r="I69" s="33"/>
    </row>
    <row r="70" spans="1:11" x14ac:dyDescent="0.2">
      <c r="A70" s="43" t="s">
        <v>70</v>
      </c>
      <c r="B70" s="40"/>
      <c r="C70" s="45">
        <f t="shared" si="10"/>
        <v>0</v>
      </c>
      <c r="D70" s="40"/>
      <c r="E70" s="40"/>
      <c r="F70" s="46">
        <f t="shared" si="11"/>
        <v>0</v>
      </c>
      <c r="H70" s="257"/>
      <c r="I70" s="257"/>
    </row>
    <row r="71" spans="1:11" x14ac:dyDescent="0.2">
      <c r="A71" s="47" t="s">
        <v>71</v>
      </c>
      <c r="B71" s="40"/>
      <c r="C71" s="45">
        <f t="shared" si="10"/>
        <v>0</v>
      </c>
      <c r="D71" s="40"/>
      <c r="E71" s="40"/>
      <c r="F71" s="46">
        <f t="shared" si="11"/>
        <v>0</v>
      </c>
      <c r="G71" s="33"/>
      <c r="I71" s="33"/>
    </row>
    <row r="72" spans="1:11" x14ac:dyDescent="0.2">
      <c r="A72" s="47" t="s">
        <v>72</v>
      </c>
      <c r="B72" s="40"/>
      <c r="C72" s="45">
        <f t="shared" si="10"/>
        <v>0</v>
      </c>
      <c r="D72" s="40"/>
      <c r="E72" s="40"/>
      <c r="F72" s="46">
        <f t="shared" si="11"/>
        <v>0</v>
      </c>
      <c r="H72" s="33"/>
    </row>
    <row r="73" spans="1:11" x14ac:dyDescent="0.2">
      <c r="A73" s="47" t="s">
        <v>73</v>
      </c>
      <c r="B73" s="40"/>
      <c r="C73" s="45">
        <f t="shared" si="10"/>
        <v>0</v>
      </c>
      <c r="D73" s="40"/>
      <c r="E73" s="40"/>
      <c r="F73" s="46">
        <f t="shared" si="11"/>
        <v>0</v>
      </c>
      <c r="G73" s="257"/>
      <c r="H73" s="257"/>
      <c r="I73" s="33"/>
    </row>
    <row r="74" spans="1:11" x14ac:dyDescent="0.2">
      <c r="A74" s="47" t="s">
        <v>74</v>
      </c>
      <c r="B74" s="40"/>
      <c r="C74" s="45">
        <f t="shared" si="10"/>
        <v>0</v>
      </c>
      <c r="D74" s="40"/>
      <c r="E74" s="40"/>
      <c r="F74" s="46">
        <f t="shared" si="11"/>
        <v>0</v>
      </c>
      <c r="H74" s="257"/>
      <c r="I74" s="257"/>
    </row>
    <row r="75" spans="1:11" x14ac:dyDescent="0.2">
      <c r="A75" s="47" t="s">
        <v>75</v>
      </c>
      <c r="B75" s="40"/>
      <c r="C75" s="45">
        <f t="shared" si="10"/>
        <v>0</v>
      </c>
      <c r="D75" s="40"/>
      <c r="E75" s="40"/>
      <c r="F75" s="46">
        <f t="shared" si="11"/>
        <v>0</v>
      </c>
      <c r="G75" s="33"/>
      <c r="I75" s="33"/>
    </row>
    <row r="76" spans="1:11" x14ac:dyDescent="0.2">
      <c r="A76" s="47" t="s">
        <v>76</v>
      </c>
      <c r="B76" s="40"/>
      <c r="C76" s="45">
        <f t="shared" si="10"/>
        <v>0</v>
      </c>
      <c r="D76" s="40"/>
      <c r="E76" s="40"/>
      <c r="F76" s="46">
        <f t="shared" si="11"/>
        <v>0</v>
      </c>
      <c r="H76" s="33"/>
    </row>
    <row r="77" spans="1:11" ht="15.75" thickBot="1" x14ac:dyDescent="0.25">
      <c r="A77" s="60" t="s">
        <v>0</v>
      </c>
      <c r="B77" s="61">
        <f>SUM(B65:B76)</f>
        <v>199</v>
      </c>
      <c r="C77" s="61">
        <f>SUM(C65:C76)</f>
        <v>8133</v>
      </c>
      <c r="D77" s="61">
        <f>SUM(D65:D76)</f>
        <v>5200</v>
      </c>
      <c r="E77" s="61">
        <f>SUM(E65:E76)</f>
        <v>2933</v>
      </c>
      <c r="F77" s="62">
        <f t="shared" si="11"/>
        <v>8332</v>
      </c>
      <c r="G77" s="33"/>
      <c r="I77" s="33"/>
    </row>
    <row r="78" spans="1:11" ht="24.75" customHeight="1" thickBot="1" x14ac:dyDescent="0.25">
      <c r="A78" s="83" t="s">
        <v>83</v>
      </c>
      <c r="B78" s="84"/>
      <c r="C78" s="84"/>
      <c r="D78" s="84"/>
      <c r="E78" s="84"/>
      <c r="F78" s="85"/>
    </row>
    <row r="79" spans="1:11" ht="15.75" thickBot="1" x14ac:dyDescent="0.25">
      <c r="A79" s="86"/>
      <c r="B79" s="82" t="s">
        <v>77</v>
      </c>
      <c r="C79" s="82" t="s">
        <v>78</v>
      </c>
      <c r="D79" s="82" t="s">
        <v>63</v>
      </c>
      <c r="E79" s="82" t="s">
        <v>64</v>
      </c>
      <c r="F79" s="72" t="s">
        <v>0</v>
      </c>
      <c r="G79" s="87"/>
      <c r="I79" s="30"/>
      <c r="J79" s="30"/>
      <c r="K79" s="30"/>
    </row>
    <row r="80" spans="1:11" x14ac:dyDescent="0.2">
      <c r="A80" s="39" t="s">
        <v>65</v>
      </c>
      <c r="B80" s="40">
        <f t="shared" ref="B80:F91" si="12">B95-B65</f>
        <v>685</v>
      </c>
      <c r="C80" s="41">
        <f>C95-C65</f>
        <v>2119</v>
      </c>
      <c r="D80" s="40">
        <f t="shared" si="12"/>
        <v>2001</v>
      </c>
      <c r="E80" s="40">
        <f>E95-E65</f>
        <v>118</v>
      </c>
      <c r="F80" s="42">
        <f t="shared" si="12"/>
        <v>2804</v>
      </c>
      <c r="G80" s="88"/>
      <c r="H80" s="30"/>
      <c r="I80" s="30"/>
      <c r="J80" s="30"/>
      <c r="K80" s="30"/>
    </row>
    <row r="81" spans="1:61" x14ac:dyDescent="0.2">
      <c r="A81" s="43" t="s">
        <v>66</v>
      </c>
      <c r="B81" s="44">
        <f>B96-B66</f>
        <v>824</v>
      </c>
      <c r="C81" s="45">
        <f t="shared" si="12"/>
        <v>2436</v>
      </c>
      <c r="D81" s="44">
        <f t="shared" si="12"/>
        <v>2245</v>
      </c>
      <c r="E81" s="44">
        <f t="shared" si="12"/>
        <v>191</v>
      </c>
      <c r="F81" s="46">
        <f t="shared" si="12"/>
        <v>3260</v>
      </c>
      <c r="G81" s="89"/>
      <c r="H81" s="89"/>
      <c r="I81" s="30"/>
      <c r="J81" s="30"/>
      <c r="K81" s="30"/>
    </row>
    <row r="82" spans="1:61" x14ac:dyDescent="0.2">
      <c r="A82" s="43" t="s">
        <v>67</v>
      </c>
      <c r="B82" s="44">
        <f>B97-B67</f>
        <v>52</v>
      </c>
      <c r="C82" s="45">
        <f t="shared" si="12"/>
        <v>3129</v>
      </c>
      <c r="D82" s="44">
        <f t="shared" si="12"/>
        <v>2967</v>
      </c>
      <c r="E82" s="44">
        <f t="shared" si="12"/>
        <v>162</v>
      </c>
      <c r="F82" s="46">
        <f t="shared" si="12"/>
        <v>3181</v>
      </c>
      <c r="G82" s="88"/>
      <c r="H82" s="30"/>
      <c r="I82" s="30"/>
      <c r="J82" s="30"/>
      <c r="K82" s="30"/>
    </row>
    <row r="83" spans="1:61" x14ac:dyDescent="0.2">
      <c r="A83" s="43" t="s">
        <v>68</v>
      </c>
      <c r="B83" s="44">
        <f t="shared" si="12"/>
        <v>953</v>
      </c>
      <c r="C83" s="45">
        <f t="shared" si="12"/>
        <v>2929</v>
      </c>
      <c r="D83" s="44">
        <f t="shared" si="12"/>
        <v>2929</v>
      </c>
      <c r="E83" s="44">
        <f t="shared" si="12"/>
        <v>0</v>
      </c>
      <c r="F83" s="46">
        <f t="shared" si="12"/>
        <v>3882</v>
      </c>
      <c r="G83" s="88"/>
      <c r="H83" s="30"/>
      <c r="I83" s="30"/>
      <c r="J83" s="30"/>
      <c r="K83" s="30"/>
    </row>
    <row r="84" spans="1:61" x14ac:dyDescent="0.2">
      <c r="A84" s="43" t="s">
        <v>69</v>
      </c>
      <c r="B84" s="44">
        <f t="shared" si="12"/>
        <v>0</v>
      </c>
      <c r="C84" s="45">
        <f t="shared" si="12"/>
        <v>0</v>
      </c>
      <c r="D84" s="44">
        <f>D99-D69</f>
        <v>0</v>
      </c>
      <c r="E84" s="44">
        <f>E99-E69</f>
        <v>0</v>
      </c>
      <c r="F84" s="46">
        <f t="shared" si="12"/>
        <v>0</v>
      </c>
      <c r="G84" s="90"/>
      <c r="H84" s="30"/>
      <c r="I84" s="30"/>
      <c r="J84" s="30"/>
      <c r="K84" s="30"/>
    </row>
    <row r="85" spans="1:61" x14ac:dyDescent="0.2">
      <c r="A85" s="43" t="s">
        <v>70</v>
      </c>
      <c r="B85" s="44">
        <f t="shared" si="12"/>
        <v>0</v>
      </c>
      <c r="C85" s="45">
        <f t="shared" si="12"/>
        <v>0</v>
      </c>
      <c r="D85" s="44">
        <f>D100-D70</f>
        <v>0</v>
      </c>
      <c r="E85" s="44">
        <f>E100-E70</f>
        <v>0</v>
      </c>
      <c r="F85" s="46">
        <f t="shared" si="12"/>
        <v>0</v>
      </c>
      <c r="G85" s="90"/>
      <c r="H85" s="30"/>
      <c r="I85" s="30"/>
      <c r="J85" s="30"/>
      <c r="K85" s="30"/>
    </row>
    <row r="86" spans="1:61" x14ac:dyDescent="0.2">
      <c r="A86" s="47" t="s">
        <v>71</v>
      </c>
      <c r="B86" s="44">
        <f t="shared" si="12"/>
        <v>0</v>
      </c>
      <c r="C86" s="45">
        <f t="shared" si="12"/>
        <v>0</v>
      </c>
      <c r="D86" s="44">
        <f>D101-D71</f>
        <v>0</v>
      </c>
      <c r="E86" s="44">
        <f t="shared" si="12"/>
        <v>0</v>
      </c>
      <c r="F86" s="46">
        <f t="shared" si="12"/>
        <v>0</v>
      </c>
      <c r="G86" s="91"/>
      <c r="H86" s="90"/>
      <c r="I86" s="30"/>
      <c r="J86" s="30"/>
      <c r="K86" s="30"/>
    </row>
    <row r="87" spans="1:61" x14ac:dyDescent="0.2">
      <c r="A87" s="47" t="s">
        <v>72</v>
      </c>
      <c r="B87" s="44">
        <f>B102-B72</f>
        <v>0</v>
      </c>
      <c r="C87" s="45">
        <f t="shared" si="12"/>
        <v>0</v>
      </c>
      <c r="D87" s="44">
        <f t="shared" si="12"/>
        <v>0</v>
      </c>
      <c r="E87" s="44">
        <f>E102-E72</f>
        <v>0</v>
      </c>
      <c r="F87" s="46">
        <f>F102-F72</f>
        <v>0</v>
      </c>
      <c r="G87" s="91"/>
      <c r="H87" s="30"/>
      <c r="I87" s="30"/>
      <c r="J87" s="30"/>
      <c r="K87" s="30"/>
    </row>
    <row r="88" spans="1:61" x14ac:dyDescent="0.2">
      <c r="A88" s="47" t="s">
        <v>73</v>
      </c>
      <c r="B88" s="44">
        <f t="shared" si="12"/>
        <v>0</v>
      </c>
      <c r="C88" s="45">
        <f t="shared" si="12"/>
        <v>0</v>
      </c>
      <c r="D88" s="44">
        <f t="shared" si="12"/>
        <v>0</v>
      </c>
      <c r="E88" s="44">
        <f>E103-E73</f>
        <v>0</v>
      </c>
      <c r="F88" s="46">
        <f t="shared" si="12"/>
        <v>0</v>
      </c>
      <c r="G88" s="89"/>
      <c r="H88" s="89"/>
      <c r="I88" s="89"/>
      <c r="J88" s="89"/>
      <c r="K88" s="30"/>
    </row>
    <row r="89" spans="1:61" x14ac:dyDescent="0.2">
      <c r="A89" s="47" t="s">
        <v>74</v>
      </c>
      <c r="B89" s="44">
        <f t="shared" si="12"/>
        <v>0</v>
      </c>
      <c r="C89" s="45">
        <f t="shared" si="12"/>
        <v>0</v>
      </c>
      <c r="D89" s="44">
        <f t="shared" si="12"/>
        <v>0</v>
      </c>
      <c r="E89" s="44">
        <f t="shared" si="12"/>
        <v>0</v>
      </c>
      <c r="F89" s="46">
        <f t="shared" si="12"/>
        <v>0</v>
      </c>
      <c r="G89" s="88"/>
      <c r="H89" s="30"/>
      <c r="I89" s="30"/>
      <c r="J89" s="30"/>
      <c r="K89" s="30"/>
    </row>
    <row r="90" spans="1:61" x14ac:dyDescent="0.2">
      <c r="A90" s="47" t="s">
        <v>75</v>
      </c>
      <c r="B90" s="44">
        <f t="shared" si="12"/>
        <v>0</v>
      </c>
      <c r="C90" s="45">
        <f t="shared" si="12"/>
        <v>0</v>
      </c>
      <c r="D90" s="44">
        <f t="shared" si="12"/>
        <v>0</v>
      </c>
      <c r="E90" s="44">
        <f t="shared" si="12"/>
        <v>0</v>
      </c>
      <c r="F90" s="46">
        <f t="shared" si="12"/>
        <v>0</v>
      </c>
      <c r="G90" s="88"/>
      <c r="H90" s="30"/>
      <c r="I90" s="30"/>
      <c r="J90" s="30"/>
      <c r="K90" s="30"/>
    </row>
    <row r="91" spans="1:61" x14ac:dyDescent="0.2">
      <c r="A91" s="47" t="s">
        <v>76</v>
      </c>
      <c r="B91" s="44">
        <f>B106-B76</f>
        <v>0</v>
      </c>
      <c r="C91" s="45">
        <f t="shared" si="12"/>
        <v>0</v>
      </c>
      <c r="D91" s="44">
        <f t="shared" si="12"/>
        <v>0</v>
      </c>
      <c r="E91" s="44">
        <f>E106-E76</f>
        <v>0</v>
      </c>
      <c r="F91" s="46">
        <f t="shared" si="12"/>
        <v>0</v>
      </c>
      <c r="G91" s="88"/>
      <c r="H91" s="30"/>
      <c r="I91" s="30"/>
      <c r="J91" s="30"/>
      <c r="K91" s="30"/>
    </row>
    <row r="92" spans="1:61" ht="15.75" thickBot="1" x14ac:dyDescent="0.25">
      <c r="A92" s="60" t="s">
        <v>0</v>
      </c>
      <c r="B92" s="61">
        <f>SUM(B80:B91)</f>
        <v>2514</v>
      </c>
      <c r="C92" s="61">
        <f>SUM(C80:C91)</f>
        <v>10613</v>
      </c>
      <c r="D92" s="61">
        <f>SUM(D80:D91)</f>
        <v>10142</v>
      </c>
      <c r="E92" s="61">
        <f>SUM(E80:E91)</f>
        <v>471</v>
      </c>
      <c r="F92" s="62">
        <f>B92+C92</f>
        <v>13127</v>
      </c>
      <c r="H92" s="30"/>
      <c r="I92" s="30"/>
      <c r="J92" s="30"/>
      <c r="K92" s="30"/>
    </row>
    <row r="93" spans="1:61" s="35" customFormat="1" ht="24" customHeight="1" thickBot="1" x14ac:dyDescent="0.25">
      <c r="A93" s="80" t="s">
        <v>84</v>
      </c>
      <c r="B93" s="64"/>
      <c r="C93" s="64"/>
      <c r="D93" s="64"/>
      <c r="E93" s="64"/>
      <c r="F93" s="65"/>
      <c r="G93" s="33"/>
      <c r="H93" s="30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</row>
    <row r="94" spans="1:61" ht="15.75" thickBot="1" x14ac:dyDescent="0.25">
      <c r="A94" s="86"/>
      <c r="B94" s="82" t="s">
        <v>77</v>
      </c>
      <c r="C94" s="82" t="s">
        <v>78</v>
      </c>
      <c r="D94" s="82" t="s">
        <v>63</v>
      </c>
      <c r="E94" s="82" t="s">
        <v>64</v>
      </c>
      <c r="F94" s="72" t="s">
        <v>0</v>
      </c>
      <c r="H94" s="33"/>
    </row>
    <row r="95" spans="1:61" x14ac:dyDescent="0.2">
      <c r="A95" s="39" t="s">
        <v>65</v>
      </c>
      <c r="B95" s="40">
        <f t="shared" ref="B95:E106" si="13">B35+B50</f>
        <v>781</v>
      </c>
      <c r="C95" s="41">
        <f t="shared" si="13"/>
        <v>4203</v>
      </c>
      <c r="D95" s="40">
        <f t="shared" si="13"/>
        <v>2989</v>
      </c>
      <c r="E95" s="40">
        <f>E35+E50</f>
        <v>1214</v>
      </c>
      <c r="F95" s="42">
        <f t="shared" ref="F95:F107" si="14">B95+C95</f>
        <v>4984</v>
      </c>
      <c r="G95" s="70"/>
      <c r="H95" s="70"/>
    </row>
    <row r="96" spans="1:61" x14ac:dyDescent="0.2">
      <c r="A96" s="43" t="s">
        <v>66</v>
      </c>
      <c r="B96" s="44">
        <f t="shared" si="13"/>
        <v>873</v>
      </c>
      <c r="C96" s="45">
        <f t="shared" si="13"/>
        <v>4676</v>
      </c>
      <c r="D96" s="44">
        <f>D36+D51</f>
        <v>3341</v>
      </c>
      <c r="E96" s="44">
        <f t="shared" si="13"/>
        <v>1335</v>
      </c>
      <c r="F96" s="46">
        <f t="shared" si="14"/>
        <v>5549</v>
      </c>
    </row>
    <row r="97" spans="1:61" x14ac:dyDescent="0.2">
      <c r="A97" s="43" t="s">
        <v>67</v>
      </c>
      <c r="B97" s="44">
        <f t="shared" si="13"/>
        <v>58</v>
      </c>
      <c r="C97" s="45">
        <f t="shared" si="13"/>
        <v>5332</v>
      </c>
      <c r="D97" s="44">
        <f t="shared" si="13"/>
        <v>4477</v>
      </c>
      <c r="E97" s="44">
        <f t="shared" si="13"/>
        <v>855</v>
      </c>
      <c r="F97" s="46">
        <f t="shared" si="14"/>
        <v>5390</v>
      </c>
    </row>
    <row r="98" spans="1:61" x14ac:dyDescent="0.2">
      <c r="A98" s="43" t="s">
        <v>68</v>
      </c>
      <c r="B98" s="44">
        <f t="shared" si="13"/>
        <v>1001</v>
      </c>
      <c r="C98" s="45">
        <f t="shared" si="13"/>
        <v>4535</v>
      </c>
      <c r="D98" s="44">
        <f t="shared" si="13"/>
        <v>4535</v>
      </c>
      <c r="E98" s="44">
        <f t="shared" si="13"/>
        <v>0</v>
      </c>
      <c r="F98" s="46">
        <f>B98+C98</f>
        <v>5536</v>
      </c>
      <c r="G98" s="70"/>
      <c r="H98" s="70"/>
    </row>
    <row r="99" spans="1:61" x14ac:dyDescent="0.2">
      <c r="A99" s="43" t="s">
        <v>69</v>
      </c>
      <c r="B99" s="44">
        <f>B39+B54</f>
        <v>0</v>
      </c>
      <c r="C99" s="45">
        <f t="shared" si="13"/>
        <v>0</v>
      </c>
      <c r="D99" s="44">
        <f>D39+D54</f>
        <v>0</v>
      </c>
      <c r="E99" s="44">
        <f>E39+E54</f>
        <v>0</v>
      </c>
      <c r="F99" s="46">
        <f t="shared" si="14"/>
        <v>0</v>
      </c>
      <c r="G99" s="92"/>
      <c r="I99" s="30"/>
      <c r="J99" s="30"/>
      <c r="K99" s="30"/>
    </row>
    <row r="100" spans="1:61" x14ac:dyDescent="0.2">
      <c r="A100" s="43" t="s">
        <v>70</v>
      </c>
      <c r="B100" s="44">
        <f>B40+B55</f>
        <v>0</v>
      </c>
      <c r="C100" s="45">
        <f t="shared" si="13"/>
        <v>0</v>
      </c>
      <c r="D100" s="44">
        <f t="shared" si="13"/>
        <v>0</v>
      </c>
      <c r="E100" s="44">
        <f>E40+E55</f>
        <v>0</v>
      </c>
      <c r="F100" s="46">
        <f t="shared" si="14"/>
        <v>0</v>
      </c>
      <c r="G100" s="89"/>
      <c r="H100" s="89"/>
      <c r="I100" s="30"/>
      <c r="J100" s="30"/>
      <c r="K100" s="30"/>
    </row>
    <row r="101" spans="1:61" x14ac:dyDescent="0.2">
      <c r="A101" s="47" t="s">
        <v>71</v>
      </c>
      <c r="B101" s="44">
        <f t="shared" si="13"/>
        <v>0</v>
      </c>
      <c r="C101" s="45">
        <f t="shared" si="13"/>
        <v>0</v>
      </c>
      <c r="D101" s="44">
        <f t="shared" si="13"/>
        <v>0</v>
      </c>
      <c r="E101" s="44">
        <f t="shared" si="13"/>
        <v>0</v>
      </c>
      <c r="F101" s="46">
        <f t="shared" si="14"/>
        <v>0</v>
      </c>
      <c r="G101" s="93"/>
      <c r="H101" s="30"/>
      <c r="I101" s="30"/>
      <c r="J101" s="30"/>
      <c r="K101" s="30"/>
    </row>
    <row r="102" spans="1:61" x14ac:dyDescent="0.2">
      <c r="A102" s="47" t="s">
        <v>72</v>
      </c>
      <c r="B102" s="44">
        <f>B42+B57</f>
        <v>0</v>
      </c>
      <c r="C102" s="45">
        <f t="shared" si="13"/>
        <v>0</v>
      </c>
      <c r="D102" s="44">
        <f t="shared" si="13"/>
        <v>0</v>
      </c>
      <c r="E102" s="44">
        <f t="shared" si="13"/>
        <v>0</v>
      </c>
      <c r="F102" s="46">
        <f>B102+C102</f>
        <v>0</v>
      </c>
      <c r="G102" s="89"/>
      <c r="H102" s="89"/>
      <c r="I102" s="30"/>
      <c r="J102" s="30"/>
      <c r="K102" s="30"/>
    </row>
    <row r="103" spans="1:61" x14ac:dyDescent="0.2">
      <c r="A103" s="47" t="s">
        <v>73</v>
      </c>
      <c r="B103" s="44">
        <f>B43+B58</f>
        <v>0</v>
      </c>
      <c r="C103" s="45">
        <f t="shared" si="13"/>
        <v>0</v>
      </c>
      <c r="D103" s="44">
        <f>D43+D58</f>
        <v>0</v>
      </c>
      <c r="E103" s="44">
        <f t="shared" si="13"/>
        <v>0</v>
      </c>
      <c r="F103" s="46">
        <f>B103+C103</f>
        <v>0</v>
      </c>
      <c r="H103" s="30"/>
    </row>
    <row r="104" spans="1:61" x14ac:dyDescent="0.2">
      <c r="A104" s="47" t="s">
        <v>74</v>
      </c>
      <c r="B104" s="44">
        <f t="shared" si="13"/>
        <v>0</v>
      </c>
      <c r="C104" s="45">
        <f t="shared" si="13"/>
        <v>0</v>
      </c>
      <c r="D104" s="44">
        <f t="shared" si="13"/>
        <v>0</v>
      </c>
      <c r="E104" s="44">
        <f t="shared" si="13"/>
        <v>0</v>
      </c>
      <c r="F104" s="46">
        <f t="shared" si="14"/>
        <v>0</v>
      </c>
      <c r="G104" s="70"/>
    </row>
    <row r="105" spans="1:61" x14ac:dyDescent="0.2">
      <c r="A105" s="47" t="s">
        <v>75</v>
      </c>
      <c r="B105" s="44">
        <f t="shared" si="13"/>
        <v>0</v>
      </c>
      <c r="C105" s="45">
        <f t="shared" si="13"/>
        <v>0</v>
      </c>
      <c r="D105" s="44">
        <f t="shared" si="13"/>
        <v>0</v>
      </c>
      <c r="E105" s="44">
        <f t="shared" si="13"/>
        <v>0</v>
      </c>
      <c r="F105" s="46">
        <f t="shared" si="14"/>
        <v>0</v>
      </c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</row>
    <row r="106" spans="1:61" x14ac:dyDescent="0.2">
      <c r="A106" s="47" t="s">
        <v>76</v>
      </c>
      <c r="B106" s="44">
        <f>B46+B61</f>
        <v>0</v>
      </c>
      <c r="C106" s="45">
        <f t="shared" si="13"/>
        <v>0</v>
      </c>
      <c r="D106" s="44">
        <f t="shared" si="13"/>
        <v>0</v>
      </c>
      <c r="E106" s="44">
        <f>E46+E61</f>
        <v>0</v>
      </c>
      <c r="F106" s="46">
        <f t="shared" si="14"/>
        <v>0</v>
      </c>
    </row>
    <row r="107" spans="1:61" ht="15.75" thickBot="1" x14ac:dyDescent="0.25">
      <c r="A107" s="60" t="s">
        <v>0</v>
      </c>
      <c r="B107" s="61">
        <f>SUM(B95:B106)</f>
        <v>2713</v>
      </c>
      <c r="C107" s="61">
        <f>SUM(C95:C106)</f>
        <v>18746</v>
      </c>
      <c r="D107" s="61">
        <f>SUM(D95:D106)</f>
        <v>15342</v>
      </c>
      <c r="E107" s="61">
        <f>SUM(E95:E106)</f>
        <v>3404</v>
      </c>
      <c r="F107" s="62">
        <f t="shared" si="14"/>
        <v>21459</v>
      </c>
    </row>
    <row r="108" spans="1:61" ht="25.5" customHeight="1" thickBot="1" x14ac:dyDescent="0.25">
      <c r="A108" s="83" t="s">
        <v>85</v>
      </c>
      <c r="B108" s="94"/>
      <c r="C108" s="94"/>
      <c r="D108" s="94"/>
      <c r="E108" s="94"/>
      <c r="F108" s="95"/>
      <c r="G108" s="96"/>
      <c r="I108" s="97"/>
      <c r="J108" s="97"/>
      <c r="K108" s="97"/>
    </row>
    <row r="109" spans="1:61" s="103" customFormat="1" ht="24.75" customHeight="1" thickBot="1" x14ac:dyDescent="0.25">
      <c r="A109" s="98"/>
      <c r="B109" s="53" t="s">
        <v>86</v>
      </c>
      <c r="C109" s="53" t="s">
        <v>87</v>
      </c>
      <c r="D109" s="53" t="s">
        <v>88</v>
      </c>
      <c r="E109" s="53" t="s">
        <v>89</v>
      </c>
      <c r="F109" s="99" t="s">
        <v>90</v>
      </c>
      <c r="G109" s="100" t="s">
        <v>91</v>
      </c>
      <c r="H109" s="97"/>
      <c r="I109" s="88"/>
      <c r="J109" s="88"/>
      <c r="K109" s="88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</row>
    <row r="110" spans="1:61" x14ac:dyDescent="0.2">
      <c r="A110" s="104" t="s">
        <v>65</v>
      </c>
      <c r="B110" s="105"/>
      <c r="C110" s="106"/>
      <c r="D110" s="106"/>
      <c r="E110" s="106"/>
      <c r="F110" s="107"/>
      <c r="G110" s="108"/>
      <c r="H110" s="88"/>
      <c r="I110" s="109"/>
      <c r="J110" s="109"/>
      <c r="K110" s="109"/>
    </row>
    <row r="111" spans="1:61" x14ac:dyDescent="0.2">
      <c r="A111" s="110" t="s">
        <v>92</v>
      </c>
      <c r="B111" s="44">
        <v>124</v>
      </c>
      <c r="C111" s="44">
        <v>132</v>
      </c>
      <c r="D111" s="44">
        <v>117</v>
      </c>
      <c r="E111" s="44">
        <v>35</v>
      </c>
      <c r="F111" s="111">
        <v>277</v>
      </c>
      <c r="G111" s="112">
        <f>SUM(B111:F111)</f>
        <v>685</v>
      </c>
      <c r="H111" s="109"/>
      <c r="I111" s="109"/>
      <c r="J111" s="109"/>
      <c r="K111" s="109"/>
    </row>
    <row r="112" spans="1:61" x14ac:dyDescent="0.2">
      <c r="A112" s="110" t="s">
        <v>93</v>
      </c>
      <c r="B112" s="44">
        <v>461</v>
      </c>
      <c r="C112" s="44">
        <v>481</v>
      </c>
      <c r="D112" s="44">
        <v>376</v>
      </c>
      <c r="E112" s="44">
        <v>74</v>
      </c>
      <c r="F112" s="111">
        <v>609</v>
      </c>
      <c r="G112" s="112">
        <f>SUM(B112:F112)</f>
        <v>2001</v>
      </c>
      <c r="H112" s="109"/>
      <c r="I112" s="109"/>
      <c r="J112" s="109"/>
      <c r="K112" s="109"/>
    </row>
    <row r="113" spans="1:61" x14ac:dyDescent="0.2">
      <c r="A113" s="110" t="s">
        <v>1</v>
      </c>
      <c r="B113" s="44">
        <v>109</v>
      </c>
      <c r="C113" s="44">
        <v>9</v>
      </c>
      <c r="D113" s="44">
        <v>0</v>
      </c>
      <c r="E113" s="44">
        <v>0</v>
      </c>
      <c r="F113" s="111">
        <v>0</v>
      </c>
      <c r="G113" s="114">
        <f>SUM(B113:F113)</f>
        <v>118</v>
      </c>
      <c r="H113" s="109"/>
      <c r="I113" s="109"/>
      <c r="J113" s="109"/>
      <c r="K113" s="109"/>
    </row>
    <row r="114" spans="1:61" x14ac:dyDescent="0.2">
      <c r="A114" s="115" t="s">
        <v>7</v>
      </c>
      <c r="B114" s="116">
        <f t="shared" ref="B114:G114" si="15">B111+B112+B113</f>
        <v>694</v>
      </c>
      <c r="C114" s="116">
        <f t="shared" si="15"/>
        <v>622</v>
      </c>
      <c r="D114" s="116">
        <f t="shared" si="15"/>
        <v>493</v>
      </c>
      <c r="E114" s="116">
        <f t="shared" si="15"/>
        <v>109</v>
      </c>
      <c r="F114" s="117">
        <f t="shared" si="15"/>
        <v>886</v>
      </c>
      <c r="G114" s="118">
        <f t="shared" si="15"/>
        <v>2804</v>
      </c>
      <c r="H114" s="109"/>
      <c r="I114" s="119"/>
      <c r="J114" s="119"/>
      <c r="K114" s="119"/>
    </row>
    <row r="115" spans="1:61" x14ac:dyDescent="0.2">
      <c r="A115" s="120" t="s">
        <v>66</v>
      </c>
      <c r="B115" s="121"/>
      <c r="C115" s="122"/>
      <c r="D115" s="122"/>
      <c r="E115" s="122"/>
      <c r="F115" s="122"/>
      <c r="G115" s="123"/>
      <c r="H115" s="119"/>
      <c r="I115" s="119"/>
      <c r="J115" s="119"/>
      <c r="K115" s="119"/>
    </row>
    <row r="116" spans="1:61" x14ac:dyDescent="0.2">
      <c r="A116" s="110" t="s">
        <v>92</v>
      </c>
      <c r="B116" s="44">
        <v>98</v>
      </c>
      <c r="C116" s="44">
        <v>211</v>
      </c>
      <c r="D116" s="44">
        <v>218</v>
      </c>
      <c r="E116" s="44">
        <v>52</v>
      </c>
      <c r="F116" s="111">
        <v>245</v>
      </c>
      <c r="G116" s="112">
        <f>SUM(B116:F116)</f>
        <v>824</v>
      </c>
      <c r="H116" s="119"/>
      <c r="I116" s="109"/>
      <c r="J116" s="109"/>
      <c r="K116" s="109"/>
    </row>
    <row r="117" spans="1:61" x14ac:dyDescent="0.2">
      <c r="A117" s="110" t="s">
        <v>93</v>
      </c>
      <c r="B117" s="44">
        <v>455</v>
      </c>
      <c r="C117" s="44">
        <v>718</v>
      </c>
      <c r="D117" s="44">
        <v>624</v>
      </c>
      <c r="E117" s="44">
        <v>87</v>
      </c>
      <c r="F117" s="111">
        <v>361</v>
      </c>
      <c r="G117" s="112">
        <f>SUM(B117:F117)</f>
        <v>2245</v>
      </c>
      <c r="H117" s="109"/>
      <c r="I117" s="109"/>
      <c r="J117" s="109"/>
      <c r="K117" s="109"/>
    </row>
    <row r="118" spans="1:61" x14ac:dyDescent="0.2">
      <c r="A118" s="110" t="s">
        <v>1</v>
      </c>
      <c r="B118" s="76">
        <v>186</v>
      </c>
      <c r="C118" s="76">
        <v>5</v>
      </c>
      <c r="D118" s="44">
        <v>0</v>
      </c>
      <c r="E118" s="44">
        <v>0</v>
      </c>
      <c r="F118" s="44">
        <v>0</v>
      </c>
      <c r="G118" s="112">
        <f>SUM(B118:F118)</f>
        <v>191</v>
      </c>
      <c r="H118" s="109"/>
      <c r="I118" s="109"/>
      <c r="J118" s="109"/>
      <c r="K118" s="109"/>
    </row>
    <row r="119" spans="1:61" x14ac:dyDescent="0.2">
      <c r="A119" s="115" t="s">
        <v>7</v>
      </c>
      <c r="B119" s="116">
        <f t="shared" ref="B119:G119" si="16">B116+B117+B118</f>
        <v>739</v>
      </c>
      <c r="C119" s="116">
        <f t="shared" si="16"/>
        <v>934</v>
      </c>
      <c r="D119" s="116">
        <f>D116+D117+D118</f>
        <v>842</v>
      </c>
      <c r="E119" s="116">
        <f t="shared" si="16"/>
        <v>139</v>
      </c>
      <c r="F119" s="117">
        <f t="shared" si="16"/>
        <v>606</v>
      </c>
      <c r="G119" s="118">
        <f t="shared" si="16"/>
        <v>3260</v>
      </c>
      <c r="H119" s="109"/>
      <c r="I119" s="119"/>
      <c r="J119" s="119"/>
      <c r="K119" s="119"/>
    </row>
    <row r="120" spans="1:61" x14ac:dyDescent="0.2">
      <c r="A120" s="120" t="s">
        <v>67</v>
      </c>
      <c r="B120" s="77"/>
      <c r="C120" s="77"/>
      <c r="D120" s="77"/>
      <c r="E120" s="77"/>
      <c r="F120" s="124"/>
      <c r="G120" s="112"/>
      <c r="H120" s="119"/>
      <c r="I120" s="119"/>
      <c r="J120" s="119"/>
      <c r="K120" s="119"/>
    </row>
    <row r="121" spans="1:61" x14ac:dyDescent="0.2">
      <c r="A121" s="110" t="s">
        <v>92</v>
      </c>
      <c r="B121" s="44">
        <v>13</v>
      </c>
      <c r="C121" s="44">
        <v>29</v>
      </c>
      <c r="D121" s="44">
        <v>8</v>
      </c>
      <c r="E121" s="44">
        <v>0</v>
      </c>
      <c r="F121" s="111">
        <v>2</v>
      </c>
      <c r="G121" s="112">
        <f>SUM(B121:F121)</f>
        <v>52</v>
      </c>
      <c r="H121" s="119"/>
      <c r="I121" s="109"/>
      <c r="J121" s="109"/>
      <c r="K121" s="109"/>
    </row>
    <row r="122" spans="1:61" x14ac:dyDescent="0.2">
      <c r="A122" s="110" t="s">
        <v>93</v>
      </c>
      <c r="B122" s="44">
        <v>681</v>
      </c>
      <c r="C122" s="44">
        <v>1091</v>
      </c>
      <c r="D122" s="44">
        <v>774</v>
      </c>
      <c r="E122" s="44">
        <v>75</v>
      </c>
      <c r="F122" s="111">
        <v>346</v>
      </c>
      <c r="G122" s="112">
        <f>SUM(B122:F122)</f>
        <v>2967</v>
      </c>
      <c r="H122" s="109"/>
      <c r="I122" s="109"/>
      <c r="J122" s="109"/>
      <c r="K122" s="109"/>
    </row>
    <row r="123" spans="1:61" x14ac:dyDescent="0.2">
      <c r="A123" s="110" t="s">
        <v>1</v>
      </c>
      <c r="B123" s="76">
        <v>162</v>
      </c>
      <c r="C123" s="76">
        <v>0</v>
      </c>
      <c r="D123" s="76">
        <v>0</v>
      </c>
      <c r="E123" s="76">
        <v>0</v>
      </c>
      <c r="F123" s="113">
        <v>0</v>
      </c>
      <c r="G123" s="112">
        <f>SUM(B123:F123)</f>
        <v>162</v>
      </c>
      <c r="H123" s="109"/>
      <c r="I123" s="109"/>
      <c r="J123" s="109"/>
      <c r="K123" s="109"/>
    </row>
    <row r="124" spans="1:61" x14ac:dyDescent="0.2">
      <c r="A124" s="115" t="s">
        <v>7</v>
      </c>
      <c r="B124" s="116">
        <f t="shared" ref="B124:G124" si="17">B121+B122+B123</f>
        <v>856</v>
      </c>
      <c r="C124" s="116">
        <f t="shared" si="17"/>
        <v>1120</v>
      </c>
      <c r="D124" s="116">
        <f t="shared" si="17"/>
        <v>782</v>
      </c>
      <c r="E124" s="116">
        <f t="shared" si="17"/>
        <v>75</v>
      </c>
      <c r="F124" s="117">
        <f t="shared" si="17"/>
        <v>348</v>
      </c>
      <c r="G124" s="118">
        <f t="shared" si="17"/>
        <v>3181</v>
      </c>
      <c r="H124" s="109"/>
      <c r="I124" s="119"/>
      <c r="J124" s="119"/>
      <c r="K124" s="119"/>
    </row>
    <row r="125" spans="1:61" x14ac:dyDescent="0.2">
      <c r="A125" s="120" t="s">
        <v>94</v>
      </c>
      <c r="B125" s="125"/>
      <c r="C125" s="125"/>
      <c r="D125" s="125"/>
      <c r="E125" s="125"/>
      <c r="F125" s="126"/>
      <c r="G125" s="127"/>
      <c r="H125" s="119"/>
      <c r="I125" s="119"/>
      <c r="J125" s="119"/>
      <c r="K125" s="119"/>
    </row>
    <row r="126" spans="1:61" s="131" customFormat="1" x14ac:dyDescent="0.2">
      <c r="A126" s="110" t="s">
        <v>95</v>
      </c>
      <c r="B126" s="45">
        <f t="shared" ref="B126:G126" si="18">B114+B119+B124</f>
        <v>2289</v>
      </c>
      <c r="C126" s="45">
        <f t="shared" si="18"/>
        <v>2676</v>
      </c>
      <c r="D126" s="45">
        <f t="shared" si="18"/>
        <v>2117</v>
      </c>
      <c r="E126" s="45">
        <f t="shared" si="18"/>
        <v>323</v>
      </c>
      <c r="F126" s="128">
        <f t="shared" si="18"/>
        <v>1840</v>
      </c>
      <c r="G126" s="112">
        <f t="shared" si="18"/>
        <v>9245</v>
      </c>
      <c r="H126" s="119"/>
      <c r="I126" s="119"/>
      <c r="J126" s="119"/>
      <c r="K126" s="11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</row>
    <row r="127" spans="1:61" s="131" customFormat="1" x14ac:dyDescent="0.2">
      <c r="A127" s="110" t="s">
        <v>96</v>
      </c>
      <c r="B127" s="45">
        <f>B126*2</f>
        <v>4578</v>
      </c>
      <c r="C127" s="45">
        <f>C126*5.5</f>
        <v>14718</v>
      </c>
      <c r="D127" s="45">
        <f>D126*11.5</f>
        <v>24345.5</v>
      </c>
      <c r="E127" s="45">
        <f>E126*19</f>
        <v>6137</v>
      </c>
      <c r="F127" s="128">
        <f>F126*23</f>
        <v>42320</v>
      </c>
      <c r="G127" s="112">
        <f>SUM(B127:F127)</f>
        <v>92098.5</v>
      </c>
      <c r="H127" s="119"/>
      <c r="I127" s="119"/>
      <c r="J127" s="119"/>
      <c r="K127" s="11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</row>
    <row r="128" spans="1:61" x14ac:dyDescent="0.2">
      <c r="A128" s="132" t="s">
        <v>97</v>
      </c>
      <c r="B128" s="133" t="s">
        <v>98</v>
      </c>
      <c r="C128" s="133"/>
      <c r="D128" s="133"/>
      <c r="E128" s="133"/>
      <c r="F128" s="134"/>
      <c r="G128" s="135">
        <f>G127/G126</f>
        <v>9.9619794483504602</v>
      </c>
      <c r="H128" s="119"/>
      <c r="I128" s="119"/>
      <c r="J128" s="119"/>
      <c r="K128" s="119"/>
    </row>
    <row r="129" spans="1:11" x14ac:dyDescent="0.2">
      <c r="A129" s="120" t="s">
        <v>68</v>
      </c>
      <c r="B129" s="136"/>
      <c r="C129" s="136"/>
      <c r="D129" s="136"/>
      <c r="E129" s="136"/>
      <c r="F129" s="137"/>
      <c r="G129" s="123"/>
      <c r="H129" s="119"/>
      <c r="I129" s="119"/>
      <c r="J129" s="119"/>
      <c r="K129" s="119"/>
    </row>
    <row r="130" spans="1:11" x14ac:dyDescent="0.2">
      <c r="A130" s="110" t="s">
        <v>92</v>
      </c>
      <c r="B130" s="44">
        <v>188</v>
      </c>
      <c r="C130" s="44">
        <v>345</v>
      </c>
      <c r="D130" s="44">
        <v>230</v>
      </c>
      <c r="E130" s="44">
        <v>31</v>
      </c>
      <c r="F130" s="111">
        <v>159</v>
      </c>
      <c r="G130" s="112">
        <f>SUM(B130:F130)</f>
        <v>953</v>
      </c>
      <c r="H130" s="119"/>
      <c r="I130" s="109"/>
      <c r="J130" s="109"/>
      <c r="K130" s="109"/>
    </row>
    <row r="131" spans="1:11" x14ac:dyDescent="0.2">
      <c r="A131" s="110" t="s">
        <v>93</v>
      </c>
      <c r="B131" s="44">
        <v>672</v>
      </c>
      <c r="C131" s="44">
        <v>1287</v>
      </c>
      <c r="D131" s="44">
        <v>590</v>
      </c>
      <c r="E131" s="44">
        <v>68</v>
      </c>
      <c r="F131" s="111">
        <v>312</v>
      </c>
      <c r="G131" s="112">
        <f>SUM(B131:F131)</f>
        <v>2929</v>
      </c>
      <c r="H131" s="109"/>
      <c r="I131" s="109"/>
      <c r="J131" s="109"/>
      <c r="K131" s="109"/>
    </row>
    <row r="132" spans="1:11" x14ac:dyDescent="0.2">
      <c r="A132" s="110" t="s">
        <v>1</v>
      </c>
      <c r="B132" s="76"/>
      <c r="C132" s="76"/>
      <c r="D132" s="76"/>
      <c r="E132" s="76"/>
      <c r="F132" s="113"/>
      <c r="G132" s="112">
        <f>SUM(B132:F132)</f>
        <v>0</v>
      </c>
      <c r="H132" s="109"/>
      <c r="I132" s="109"/>
      <c r="J132" s="109"/>
      <c r="K132" s="109"/>
    </row>
    <row r="133" spans="1:11" x14ac:dyDescent="0.2">
      <c r="A133" s="115" t="s">
        <v>7</v>
      </c>
      <c r="B133" s="116">
        <f t="shared" ref="B133:G133" si="19">B130+B131+B132</f>
        <v>860</v>
      </c>
      <c r="C133" s="116">
        <f t="shared" si="19"/>
        <v>1632</v>
      </c>
      <c r="D133" s="116">
        <f t="shared" si="19"/>
        <v>820</v>
      </c>
      <c r="E133" s="116">
        <f t="shared" si="19"/>
        <v>99</v>
      </c>
      <c r="F133" s="117">
        <f t="shared" si="19"/>
        <v>471</v>
      </c>
      <c r="G133" s="118">
        <f t="shared" si="19"/>
        <v>3882</v>
      </c>
      <c r="H133" s="109"/>
      <c r="I133" s="119"/>
      <c r="J133" s="119"/>
      <c r="K133" s="119"/>
    </row>
    <row r="134" spans="1:11" x14ac:dyDescent="0.2">
      <c r="A134" s="120" t="s">
        <v>69</v>
      </c>
      <c r="B134" s="77"/>
      <c r="C134" s="77"/>
      <c r="D134" s="77"/>
      <c r="E134" s="77"/>
      <c r="F134" s="124"/>
      <c r="G134" s="123"/>
      <c r="H134" s="119"/>
      <c r="I134" s="119"/>
      <c r="J134" s="119"/>
      <c r="K134" s="119"/>
    </row>
    <row r="135" spans="1:11" x14ac:dyDescent="0.2">
      <c r="A135" s="110" t="s">
        <v>92</v>
      </c>
      <c r="B135" s="44"/>
      <c r="C135" s="44"/>
      <c r="D135" s="44"/>
      <c r="E135" s="44"/>
      <c r="F135" s="111"/>
      <c r="G135" s="112">
        <f>SUM(B135:F135)</f>
        <v>0</v>
      </c>
      <c r="H135" s="119"/>
      <c r="I135" s="109"/>
      <c r="J135" s="109"/>
      <c r="K135" s="109"/>
    </row>
    <row r="136" spans="1:11" x14ac:dyDescent="0.2">
      <c r="A136" s="110" t="s">
        <v>93</v>
      </c>
      <c r="B136" s="44"/>
      <c r="C136" s="44"/>
      <c r="D136" s="44"/>
      <c r="E136" s="44"/>
      <c r="F136" s="111"/>
      <c r="G136" s="112">
        <f>SUM(B136:F136)</f>
        <v>0</v>
      </c>
      <c r="H136" s="109"/>
      <c r="I136" s="109"/>
      <c r="J136" s="109"/>
      <c r="K136" s="109"/>
    </row>
    <row r="137" spans="1:11" x14ac:dyDescent="0.2">
      <c r="A137" s="110" t="s">
        <v>1</v>
      </c>
      <c r="B137" s="76"/>
      <c r="C137" s="76"/>
      <c r="D137" s="76"/>
      <c r="E137" s="76"/>
      <c r="F137" s="113"/>
      <c r="G137" s="112">
        <f>SUM(B137:F137)</f>
        <v>0</v>
      </c>
      <c r="H137" s="109"/>
      <c r="I137" s="109"/>
      <c r="J137" s="109"/>
      <c r="K137" s="109"/>
    </row>
    <row r="138" spans="1:11" x14ac:dyDescent="0.2">
      <c r="A138" s="115" t="s">
        <v>7</v>
      </c>
      <c r="B138" s="116">
        <f t="shared" ref="B138:G138" si="20">B135+B136+B137</f>
        <v>0</v>
      </c>
      <c r="C138" s="116">
        <f t="shared" si="20"/>
        <v>0</v>
      </c>
      <c r="D138" s="116">
        <f t="shared" si="20"/>
        <v>0</v>
      </c>
      <c r="E138" s="116">
        <f t="shared" si="20"/>
        <v>0</v>
      </c>
      <c r="F138" s="117">
        <f t="shared" si="20"/>
        <v>0</v>
      </c>
      <c r="G138" s="118">
        <f t="shared" si="20"/>
        <v>0</v>
      </c>
      <c r="H138" s="109"/>
      <c r="I138" s="119"/>
      <c r="J138" s="119"/>
      <c r="K138" s="119"/>
    </row>
    <row r="139" spans="1:11" x14ac:dyDescent="0.2">
      <c r="A139" s="120" t="s">
        <v>70</v>
      </c>
      <c r="B139" s="138"/>
      <c r="C139" s="138"/>
      <c r="D139" s="138"/>
      <c r="E139" s="138"/>
      <c r="F139" s="139"/>
      <c r="G139" s="123"/>
      <c r="H139" s="119"/>
      <c r="I139" s="109"/>
      <c r="J139" s="109"/>
      <c r="K139" s="109"/>
    </row>
    <row r="140" spans="1:11" x14ac:dyDescent="0.2">
      <c r="A140" s="110" t="s">
        <v>92</v>
      </c>
      <c r="B140" s="76"/>
      <c r="C140" s="76"/>
      <c r="D140" s="76"/>
      <c r="E140" s="76"/>
      <c r="F140" s="113"/>
      <c r="G140" s="112">
        <f>SUM(B140:F140)</f>
        <v>0</v>
      </c>
      <c r="H140" s="109"/>
      <c r="I140" s="109"/>
      <c r="J140" s="109"/>
      <c r="K140" s="109"/>
    </row>
    <row r="141" spans="1:11" x14ac:dyDescent="0.2">
      <c r="A141" s="110" t="s">
        <v>93</v>
      </c>
      <c r="B141" s="76"/>
      <c r="C141" s="76"/>
      <c r="D141" s="76"/>
      <c r="E141" s="76"/>
      <c r="F141" s="113"/>
      <c r="G141" s="112">
        <f>SUM(B141:F141)</f>
        <v>0</v>
      </c>
      <c r="H141" s="109"/>
      <c r="I141" s="109"/>
      <c r="J141" s="109"/>
      <c r="K141" s="109"/>
    </row>
    <row r="142" spans="1:11" x14ac:dyDescent="0.2">
      <c r="A142" s="110" t="s">
        <v>1</v>
      </c>
      <c r="B142" s="76"/>
      <c r="C142" s="76"/>
      <c r="D142" s="76"/>
      <c r="E142" s="76"/>
      <c r="F142" s="113"/>
      <c r="G142" s="112">
        <f>SUM(B142:F142)</f>
        <v>0</v>
      </c>
      <c r="H142" s="109"/>
      <c r="I142" s="109"/>
      <c r="J142" s="109"/>
      <c r="K142" s="109"/>
    </row>
    <row r="143" spans="1:11" x14ac:dyDescent="0.2">
      <c r="A143" s="115" t="s">
        <v>7</v>
      </c>
      <c r="B143" s="116">
        <f t="shared" ref="B143:G143" si="21">B140+B141+B142</f>
        <v>0</v>
      </c>
      <c r="C143" s="116">
        <f t="shared" si="21"/>
        <v>0</v>
      </c>
      <c r="D143" s="116">
        <f t="shared" si="21"/>
        <v>0</v>
      </c>
      <c r="E143" s="116">
        <f t="shared" si="21"/>
        <v>0</v>
      </c>
      <c r="F143" s="117">
        <f t="shared" si="21"/>
        <v>0</v>
      </c>
      <c r="G143" s="118">
        <f t="shared" si="21"/>
        <v>0</v>
      </c>
      <c r="H143" s="109"/>
      <c r="I143" s="119"/>
      <c r="J143" s="119"/>
      <c r="K143" s="119"/>
    </row>
    <row r="144" spans="1:11" x14ac:dyDescent="0.2">
      <c r="A144" s="120" t="s">
        <v>99</v>
      </c>
      <c r="B144" s="125"/>
      <c r="C144" s="125"/>
      <c r="D144" s="125"/>
      <c r="E144" s="125"/>
      <c r="F144" s="126"/>
      <c r="G144" s="140"/>
      <c r="H144" s="119"/>
      <c r="I144" s="119"/>
      <c r="J144" s="119"/>
      <c r="K144" s="119"/>
    </row>
    <row r="145" spans="1:11" x14ac:dyDescent="0.2">
      <c r="A145" s="110" t="s">
        <v>95</v>
      </c>
      <c r="B145" s="45">
        <f t="shared" ref="B145:G145" si="22">B133+B138+B143</f>
        <v>860</v>
      </c>
      <c r="C145" s="45">
        <f t="shared" si="22"/>
        <v>1632</v>
      </c>
      <c r="D145" s="45">
        <f t="shared" si="22"/>
        <v>820</v>
      </c>
      <c r="E145" s="45">
        <f t="shared" si="22"/>
        <v>99</v>
      </c>
      <c r="F145" s="128">
        <f t="shared" si="22"/>
        <v>471</v>
      </c>
      <c r="G145" s="112">
        <f t="shared" si="22"/>
        <v>3882</v>
      </c>
      <c r="H145" s="119"/>
      <c r="I145" s="119"/>
      <c r="J145" s="119"/>
      <c r="K145" s="119"/>
    </row>
    <row r="146" spans="1:11" x14ac:dyDescent="0.2">
      <c r="A146" s="110" t="s">
        <v>96</v>
      </c>
      <c r="B146" s="45">
        <f>B145*2</f>
        <v>1720</v>
      </c>
      <c r="C146" s="45">
        <f>C145*5.5</f>
        <v>8976</v>
      </c>
      <c r="D146" s="45">
        <f>D145*11.5</f>
        <v>9430</v>
      </c>
      <c r="E146" s="45">
        <f>E145*19</f>
        <v>1881</v>
      </c>
      <c r="F146" s="128">
        <f>F145*23</f>
        <v>10833</v>
      </c>
      <c r="G146" s="112">
        <f>SUM(B146:F146)</f>
        <v>32840</v>
      </c>
      <c r="H146" s="119"/>
      <c r="I146" s="119"/>
      <c r="J146" s="119"/>
      <c r="K146" s="119"/>
    </row>
    <row r="147" spans="1:11" x14ac:dyDescent="0.2">
      <c r="A147" s="132" t="s">
        <v>97</v>
      </c>
      <c r="B147" s="345" t="s">
        <v>98</v>
      </c>
      <c r="C147" s="346"/>
      <c r="D147" s="346"/>
      <c r="E147" s="346"/>
      <c r="F147" s="347"/>
      <c r="G147" s="141">
        <f>G146/G145</f>
        <v>8.4595569294178254</v>
      </c>
      <c r="H147" s="119"/>
      <c r="I147" s="119"/>
      <c r="J147" s="119"/>
      <c r="K147" s="119"/>
    </row>
    <row r="148" spans="1:11" x14ac:dyDescent="0.2">
      <c r="A148" s="120" t="s">
        <v>71</v>
      </c>
      <c r="B148" s="136"/>
      <c r="C148" s="136"/>
      <c r="D148" s="136"/>
      <c r="E148" s="136"/>
      <c r="F148" s="137"/>
      <c r="G148" s="123"/>
      <c r="H148" s="119"/>
      <c r="I148" s="119"/>
      <c r="J148" s="119"/>
      <c r="K148" s="119"/>
    </row>
    <row r="149" spans="1:11" x14ac:dyDescent="0.2">
      <c r="A149" s="110" t="s">
        <v>92</v>
      </c>
      <c r="B149" s="44"/>
      <c r="C149" s="44"/>
      <c r="D149" s="44"/>
      <c r="E149" s="44"/>
      <c r="F149" s="111"/>
      <c r="G149" s="112">
        <f>SUM(B149:F149)</f>
        <v>0</v>
      </c>
      <c r="H149" s="119"/>
      <c r="I149" s="109"/>
      <c r="J149" s="109"/>
      <c r="K149" s="109"/>
    </row>
    <row r="150" spans="1:11" x14ac:dyDescent="0.2">
      <c r="A150" s="110" t="s">
        <v>93</v>
      </c>
      <c r="B150" s="44"/>
      <c r="C150" s="44"/>
      <c r="D150" s="44"/>
      <c r="E150" s="44"/>
      <c r="F150" s="111"/>
      <c r="G150" s="112">
        <f>SUM(B150:F150)</f>
        <v>0</v>
      </c>
      <c r="H150" s="109"/>
      <c r="I150" s="109"/>
      <c r="J150" s="109"/>
      <c r="K150" s="109"/>
    </row>
    <row r="151" spans="1:11" x14ac:dyDescent="0.2">
      <c r="A151" s="110" t="s">
        <v>1</v>
      </c>
      <c r="B151" s="76"/>
      <c r="C151" s="76"/>
      <c r="D151" s="76"/>
      <c r="E151" s="76"/>
      <c r="F151" s="113"/>
      <c r="G151" s="112">
        <f>SUM(B151:F151)</f>
        <v>0</v>
      </c>
      <c r="H151" s="109"/>
      <c r="I151" s="109"/>
      <c r="J151" s="109"/>
      <c r="K151" s="109"/>
    </row>
    <row r="152" spans="1:11" x14ac:dyDescent="0.2">
      <c r="A152" s="115" t="s">
        <v>7</v>
      </c>
      <c r="B152" s="116">
        <f t="shared" ref="B152:G152" si="23">B149+B150+B151</f>
        <v>0</v>
      </c>
      <c r="C152" s="116">
        <f t="shared" si="23"/>
        <v>0</v>
      </c>
      <c r="D152" s="116">
        <f t="shared" si="23"/>
        <v>0</v>
      </c>
      <c r="E152" s="116">
        <f t="shared" si="23"/>
        <v>0</v>
      </c>
      <c r="F152" s="117">
        <f t="shared" si="23"/>
        <v>0</v>
      </c>
      <c r="G152" s="118">
        <f t="shared" si="23"/>
        <v>0</v>
      </c>
      <c r="H152" s="109"/>
      <c r="I152" s="142"/>
      <c r="J152" s="119"/>
      <c r="K152" s="119"/>
    </row>
    <row r="153" spans="1:11" x14ac:dyDescent="0.2">
      <c r="A153" s="120" t="s">
        <v>72</v>
      </c>
      <c r="B153" s="77"/>
      <c r="C153" s="77"/>
      <c r="D153" s="77"/>
      <c r="E153" s="77"/>
      <c r="F153" s="124"/>
      <c r="G153" s="123"/>
      <c r="H153" s="119"/>
      <c r="I153" s="119"/>
      <c r="J153" s="119"/>
      <c r="K153" s="119"/>
    </row>
    <row r="154" spans="1:11" x14ac:dyDescent="0.2">
      <c r="A154" s="110" t="s">
        <v>92</v>
      </c>
      <c r="B154" s="44"/>
      <c r="C154" s="44"/>
      <c r="D154" s="44"/>
      <c r="E154" s="44"/>
      <c r="F154" s="111"/>
      <c r="G154" s="112">
        <f>SUM(B154:F154)</f>
        <v>0</v>
      </c>
      <c r="H154" s="119"/>
      <c r="I154" s="109"/>
      <c r="J154" s="109"/>
      <c r="K154" s="109"/>
    </row>
    <row r="155" spans="1:11" x14ac:dyDescent="0.2">
      <c r="A155" s="110" t="s">
        <v>93</v>
      </c>
      <c r="B155" s="44"/>
      <c r="C155" s="44"/>
      <c r="D155" s="44"/>
      <c r="E155" s="44"/>
      <c r="F155" s="111"/>
      <c r="G155" s="112">
        <f>SUM(B155:F155)</f>
        <v>0</v>
      </c>
      <c r="H155" s="109"/>
      <c r="I155" s="109"/>
      <c r="J155" s="109"/>
      <c r="K155" s="109"/>
    </row>
    <row r="156" spans="1:11" x14ac:dyDescent="0.2">
      <c r="A156" s="110" t="s">
        <v>1</v>
      </c>
      <c r="B156" s="76"/>
      <c r="C156" s="76"/>
      <c r="D156" s="76"/>
      <c r="E156" s="76"/>
      <c r="F156" s="113"/>
      <c r="G156" s="112">
        <f>SUM(B156:F156)</f>
        <v>0</v>
      </c>
      <c r="H156" s="109"/>
      <c r="I156" s="109"/>
      <c r="J156" s="109"/>
      <c r="K156" s="109"/>
    </row>
    <row r="157" spans="1:11" x14ac:dyDescent="0.2">
      <c r="A157" s="115" t="s">
        <v>7</v>
      </c>
      <c r="B157" s="116">
        <f t="shared" ref="B157:G157" si="24">B154+B155+B156</f>
        <v>0</v>
      </c>
      <c r="C157" s="116">
        <f t="shared" si="24"/>
        <v>0</v>
      </c>
      <c r="D157" s="116">
        <f t="shared" si="24"/>
        <v>0</v>
      </c>
      <c r="E157" s="116">
        <f t="shared" si="24"/>
        <v>0</v>
      </c>
      <c r="F157" s="117">
        <f t="shared" si="24"/>
        <v>0</v>
      </c>
      <c r="G157" s="118">
        <f t="shared" si="24"/>
        <v>0</v>
      </c>
      <c r="H157" s="109"/>
      <c r="I157" s="119"/>
      <c r="J157" s="119"/>
      <c r="K157" s="119"/>
    </row>
    <row r="158" spans="1:11" x14ac:dyDescent="0.2">
      <c r="A158" s="120" t="s">
        <v>100</v>
      </c>
      <c r="B158" s="138"/>
      <c r="C158" s="138"/>
      <c r="D158" s="138"/>
      <c r="E158" s="138"/>
      <c r="F158" s="139"/>
      <c r="G158" s="123"/>
      <c r="H158" s="119"/>
      <c r="I158" s="119"/>
      <c r="J158" s="119"/>
      <c r="K158" s="119"/>
    </row>
    <row r="159" spans="1:11" x14ac:dyDescent="0.2">
      <c r="A159" s="110" t="s">
        <v>92</v>
      </c>
      <c r="B159" s="76"/>
      <c r="C159" s="76"/>
      <c r="D159" s="76"/>
      <c r="E159" s="76"/>
      <c r="F159" s="113"/>
      <c r="G159" s="112">
        <f>SUM(B159:F159)</f>
        <v>0</v>
      </c>
      <c r="H159" s="119"/>
      <c r="I159" s="109"/>
      <c r="J159" s="109"/>
      <c r="K159" s="109"/>
    </row>
    <row r="160" spans="1:11" x14ac:dyDescent="0.2">
      <c r="A160" s="110" t="s">
        <v>93</v>
      </c>
      <c r="B160" s="76"/>
      <c r="C160" s="76"/>
      <c r="D160" s="76"/>
      <c r="E160" s="76"/>
      <c r="F160" s="113"/>
      <c r="G160" s="112">
        <f>SUM(B160:F160)</f>
        <v>0</v>
      </c>
      <c r="H160" s="109"/>
      <c r="I160" s="109"/>
      <c r="J160" s="109"/>
      <c r="K160" s="109"/>
    </row>
    <row r="161" spans="1:11" x14ac:dyDescent="0.2">
      <c r="A161" s="110" t="s">
        <v>1</v>
      </c>
      <c r="B161" s="76"/>
      <c r="C161" s="76"/>
      <c r="D161" s="76"/>
      <c r="E161" s="76"/>
      <c r="F161" s="113"/>
      <c r="G161" s="112">
        <f>SUM(B161:F161)</f>
        <v>0</v>
      </c>
      <c r="H161" s="109"/>
      <c r="I161" s="109"/>
      <c r="J161" s="109"/>
      <c r="K161" s="109"/>
    </row>
    <row r="162" spans="1:11" x14ac:dyDescent="0.2">
      <c r="A162" s="115" t="s">
        <v>7</v>
      </c>
      <c r="B162" s="116">
        <f t="shared" ref="B162:G162" si="25">B159+B160+B161</f>
        <v>0</v>
      </c>
      <c r="C162" s="116">
        <f t="shared" si="25"/>
        <v>0</v>
      </c>
      <c r="D162" s="116">
        <f t="shared" si="25"/>
        <v>0</v>
      </c>
      <c r="E162" s="116">
        <f t="shared" si="25"/>
        <v>0</v>
      </c>
      <c r="F162" s="117">
        <f t="shared" si="25"/>
        <v>0</v>
      </c>
      <c r="G162" s="118">
        <f t="shared" si="25"/>
        <v>0</v>
      </c>
      <c r="H162" s="109"/>
      <c r="I162" s="119"/>
      <c r="J162" s="119"/>
      <c r="K162" s="119"/>
    </row>
    <row r="163" spans="1:11" x14ac:dyDescent="0.2">
      <c r="A163" s="120" t="s">
        <v>101</v>
      </c>
      <c r="B163" s="125"/>
      <c r="C163" s="125"/>
      <c r="D163" s="125"/>
      <c r="E163" s="125"/>
      <c r="F163" s="126"/>
      <c r="G163" s="140"/>
      <c r="H163" s="119"/>
      <c r="I163" s="119"/>
      <c r="J163" s="119"/>
      <c r="K163" s="119"/>
    </row>
    <row r="164" spans="1:11" x14ac:dyDescent="0.2">
      <c r="A164" s="110" t="s">
        <v>95</v>
      </c>
      <c r="B164" s="45">
        <f t="shared" ref="B164:G164" si="26">+B152+B157+B162</f>
        <v>0</v>
      </c>
      <c r="C164" s="45">
        <f t="shared" si="26"/>
        <v>0</v>
      </c>
      <c r="D164" s="45">
        <f t="shared" si="26"/>
        <v>0</v>
      </c>
      <c r="E164" s="45">
        <f t="shared" si="26"/>
        <v>0</v>
      </c>
      <c r="F164" s="128">
        <f t="shared" si="26"/>
        <v>0</v>
      </c>
      <c r="G164" s="112">
        <f t="shared" si="26"/>
        <v>0</v>
      </c>
      <c r="H164" s="119"/>
      <c r="I164" s="119"/>
      <c r="J164" s="119"/>
      <c r="K164" s="119"/>
    </row>
    <row r="165" spans="1:11" x14ac:dyDescent="0.2">
      <c r="A165" s="110" t="s">
        <v>96</v>
      </c>
      <c r="B165" s="45">
        <f>B164*2</f>
        <v>0</v>
      </c>
      <c r="C165" s="45">
        <f>C164*5.5</f>
        <v>0</v>
      </c>
      <c r="D165" s="45">
        <f>D164*11.5</f>
        <v>0</v>
      </c>
      <c r="E165" s="45">
        <f>E164*19</f>
        <v>0</v>
      </c>
      <c r="F165" s="128">
        <f>F164*23</f>
        <v>0</v>
      </c>
      <c r="G165" s="112">
        <f>SUM(B165:F165)</f>
        <v>0</v>
      </c>
      <c r="H165" s="119"/>
      <c r="I165" s="119"/>
      <c r="J165" s="119"/>
      <c r="K165" s="119"/>
    </row>
    <row r="166" spans="1:11" x14ac:dyDescent="0.2">
      <c r="A166" s="132" t="s">
        <v>97</v>
      </c>
      <c r="B166" s="345" t="s">
        <v>98</v>
      </c>
      <c r="C166" s="346"/>
      <c r="D166" s="346"/>
      <c r="E166" s="346"/>
      <c r="F166" s="347"/>
      <c r="G166" s="141" t="e">
        <f>G165/G164</f>
        <v>#DIV/0!</v>
      </c>
      <c r="H166" s="119"/>
      <c r="I166" s="119"/>
      <c r="J166" s="119"/>
      <c r="K166" s="119"/>
    </row>
    <row r="167" spans="1:11" x14ac:dyDescent="0.2">
      <c r="A167" s="120" t="s">
        <v>74</v>
      </c>
      <c r="B167" s="136"/>
      <c r="C167" s="136"/>
      <c r="D167" s="136"/>
      <c r="E167" s="136"/>
      <c r="F167" s="137"/>
      <c r="G167" s="123"/>
      <c r="H167" s="119"/>
      <c r="I167" s="119"/>
      <c r="J167" s="119"/>
      <c r="K167" s="119"/>
    </row>
    <row r="168" spans="1:11" x14ac:dyDescent="0.2">
      <c r="A168" s="110" t="s">
        <v>92</v>
      </c>
      <c r="B168" s="44"/>
      <c r="C168" s="44"/>
      <c r="D168" s="44"/>
      <c r="E168" s="44"/>
      <c r="F168" s="111"/>
      <c r="G168" s="112">
        <f>SUM(B168:F168)</f>
        <v>0</v>
      </c>
      <c r="H168" s="119"/>
      <c r="I168" s="109"/>
      <c r="J168" s="109"/>
      <c r="K168" s="109"/>
    </row>
    <row r="169" spans="1:11" x14ac:dyDescent="0.2">
      <c r="A169" s="110" t="s">
        <v>93</v>
      </c>
      <c r="B169" s="44"/>
      <c r="C169" s="44"/>
      <c r="D169" s="44"/>
      <c r="E169" s="44"/>
      <c r="F169" s="111"/>
      <c r="G169" s="112">
        <f>SUM(B169:F169)</f>
        <v>0</v>
      </c>
      <c r="H169" s="109"/>
      <c r="I169" s="109"/>
      <c r="J169" s="109"/>
      <c r="K169" s="109"/>
    </row>
    <row r="170" spans="1:11" x14ac:dyDescent="0.2">
      <c r="A170" s="110" t="s">
        <v>1</v>
      </c>
      <c r="B170" s="76"/>
      <c r="C170" s="76"/>
      <c r="D170" s="76"/>
      <c r="E170" s="76"/>
      <c r="F170" s="113"/>
      <c r="G170" s="112">
        <f>SUM(B170:F170)</f>
        <v>0</v>
      </c>
      <c r="H170" s="109"/>
      <c r="I170" s="109"/>
      <c r="J170" s="109"/>
      <c r="K170" s="109"/>
    </row>
    <row r="171" spans="1:11" x14ac:dyDescent="0.2">
      <c r="A171" s="115" t="s">
        <v>7</v>
      </c>
      <c r="B171" s="116">
        <f t="shared" ref="B171:G171" si="27">B168+B169+B170</f>
        <v>0</v>
      </c>
      <c r="C171" s="116">
        <f t="shared" si="27"/>
        <v>0</v>
      </c>
      <c r="D171" s="116">
        <f t="shared" si="27"/>
        <v>0</v>
      </c>
      <c r="E171" s="116">
        <f t="shared" si="27"/>
        <v>0</v>
      </c>
      <c r="F171" s="117">
        <f t="shared" si="27"/>
        <v>0</v>
      </c>
      <c r="G171" s="118">
        <f t="shared" si="27"/>
        <v>0</v>
      </c>
      <c r="H171" s="109"/>
      <c r="I171" s="119"/>
      <c r="J171" s="119"/>
      <c r="K171" s="119"/>
    </row>
    <row r="172" spans="1:11" x14ac:dyDescent="0.2">
      <c r="A172" s="120" t="s">
        <v>75</v>
      </c>
      <c r="B172" s="77"/>
      <c r="C172" s="77"/>
      <c r="D172" s="77"/>
      <c r="E172" s="77"/>
      <c r="F172" s="124"/>
      <c r="G172" s="123"/>
      <c r="H172" s="119"/>
      <c r="I172" s="119"/>
      <c r="J172" s="119"/>
      <c r="K172" s="119"/>
    </row>
    <row r="173" spans="1:11" x14ac:dyDescent="0.2">
      <c r="A173" s="110" t="s">
        <v>92</v>
      </c>
      <c r="B173" s="44"/>
      <c r="C173" s="44"/>
      <c r="D173" s="44"/>
      <c r="E173" s="44"/>
      <c r="F173" s="111"/>
      <c r="G173" s="112">
        <f>SUM(B173:F173)</f>
        <v>0</v>
      </c>
      <c r="H173" s="119"/>
      <c r="I173" s="109"/>
      <c r="J173" s="109"/>
      <c r="K173" s="109"/>
    </row>
    <row r="174" spans="1:11" x14ac:dyDescent="0.2">
      <c r="A174" s="110" t="s">
        <v>93</v>
      </c>
      <c r="B174" s="44"/>
      <c r="C174" s="44"/>
      <c r="D174" s="44"/>
      <c r="E174" s="44"/>
      <c r="F174" s="111"/>
      <c r="G174" s="112">
        <f>SUM(B174:F174)</f>
        <v>0</v>
      </c>
      <c r="H174" s="109"/>
      <c r="I174" s="109"/>
      <c r="J174" s="109"/>
      <c r="K174" s="109"/>
    </row>
    <row r="175" spans="1:11" x14ac:dyDescent="0.2">
      <c r="A175" s="110" t="s">
        <v>1</v>
      </c>
      <c r="B175" s="76"/>
      <c r="C175" s="76"/>
      <c r="D175" s="76"/>
      <c r="E175" s="76"/>
      <c r="F175" s="113"/>
      <c r="G175" s="112">
        <f>SUM(B175:F175)</f>
        <v>0</v>
      </c>
      <c r="H175" s="109"/>
      <c r="I175" s="109"/>
      <c r="J175" s="109"/>
      <c r="K175" s="109"/>
    </row>
    <row r="176" spans="1:11" x14ac:dyDescent="0.2">
      <c r="A176" s="115" t="s">
        <v>7</v>
      </c>
      <c r="B176" s="116">
        <f t="shared" ref="B176:G176" si="28">B173+B174+B175</f>
        <v>0</v>
      </c>
      <c r="C176" s="116">
        <f t="shared" si="28"/>
        <v>0</v>
      </c>
      <c r="D176" s="116">
        <f t="shared" si="28"/>
        <v>0</v>
      </c>
      <c r="E176" s="116">
        <f t="shared" si="28"/>
        <v>0</v>
      </c>
      <c r="F176" s="117">
        <f t="shared" si="28"/>
        <v>0</v>
      </c>
      <c r="G176" s="118">
        <f t="shared" si="28"/>
        <v>0</v>
      </c>
      <c r="H176" s="109"/>
      <c r="I176" s="119"/>
      <c r="J176" s="119"/>
      <c r="K176" s="119"/>
    </row>
    <row r="177" spans="1:61" x14ac:dyDescent="0.2">
      <c r="A177" s="120" t="s">
        <v>76</v>
      </c>
      <c r="B177" s="138"/>
      <c r="C177" s="138"/>
      <c r="D177" s="138"/>
      <c r="E177" s="138"/>
      <c r="F177" s="139"/>
      <c r="G177" s="123"/>
      <c r="H177" s="119"/>
      <c r="I177" s="119"/>
      <c r="J177" s="119"/>
      <c r="K177" s="119"/>
    </row>
    <row r="178" spans="1:61" x14ac:dyDescent="0.2">
      <c r="A178" s="110" t="s">
        <v>92</v>
      </c>
      <c r="B178" s="76"/>
      <c r="C178" s="76"/>
      <c r="D178" s="76"/>
      <c r="E178" s="76"/>
      <c r="F178" s="113"/>
      <c r="G178" s="112">
        <f>SUM(B178:F178)</f>
        <v>0</v>
      </c>
      <c r="H178" s="119"/>
      <c r="I178" s="109"/>
      <c r="J178" s="109"/>
      <c r="K178" s="109"/>
    </row>
    <row r="179" spans="1:61" x14ac:dyDescent="0.2">
      <c r="A179" s="110" t="s">
        <v>93</v>
      </c>
      <c r="B179" s="76"/>
      <c r="C179" s="76"/>
      <c r="D179" s="76"/>
      <c r="E179" s="76"/>
      <c r="F179" s="113"/>
      <c r="G179" s="112">
        <f>SUM(B179:F179)</f>
        <v>0</v>
      </c>
      <c r="H179" s="109"/>
      <c r="I179" s="109"/>
      <c r="J179" s="109"/>
      <c r="K179" s="109"/>
    </row>
    <row r="180" spans="1:61" x14ac:dyDescent="0.2">
      <c r="A180" s="110" t="s">
        <v>1</v>
      </c>
      <c r="B180" s="76"/>
      <c r="C180" s="76"/>
      <c r="D180" s="76"/>
      <c r="E180" s="76"/>
      <c r="F180" s="113"/>
      <c r="G180" s="112">
        <f>SUM(B180:F180)</f>
        <v>0</v>
      </c>
      <c r="H180" s="109"/>
      <c r="I180" s="109"/>
      <c r="J180" s="109"/>
      <c r="K180" s="109"/>
    </row>
    <row r="181" spans="1:61" x14ac:dyDescent="0.2">
      <c r="A181" s="115" t="s">
        <v>7</v>
      </c>
      <c r="B181" s="116">
        <f t="shared" ref="B181:G181" si="29">B178+B179+B180</f>
        <v>0</v>
      </c>
      <c r="C181" s="116">
        <f t="shared" si="29"/>
        <v>0</v>
      </c>
      <c r="D181" s="116">
        <f t="shared" si="29"/>
        <v>0</v>
      </c>
      <c r="E181" s="116">
        <f t="shared" si="29"/>
        <v>0</v>
      </c>
      <c r="F181" s="117">
        <f t="shared" si="29"/>
        <v>0</v>
      </c>
      <c r="G181" s="118">
        <f t="shared" si="29"/>
        <v>0</v>
      </c>
      <c r="H181" s="109"/>
      <c r="I181" s="119"/>
      <c r="J181" s="119"/>
      <c r="K181" s="119"/>
    </row>
    <row r="182" spans="1:61" x14ac:dyDescent="0.2">
      <c r="A182" s="120" t="s">
        <v>102</v>
      </c>
      <c r="B182" s="125"/>
      <c r="C182" s="125"/>
      <c r="D182" s="125"/>
      <c r="E182" s="125"/>
      <c r="F182" s="126"/>
      <c r="G182" s="140"/>
      <c r="H182" s="119"/>
      <c r="I182" s="119"/>
      <c r="J182" s="119"/>
      <c r="K182" s="119"/>
    </row>
    <row r="183" spans="1:61" x14ac:dyDescent="0.2">
      <c r="A183" s="110" t="s">
        <v>95</v>
      </c>
      <c r="B183" s="45">
        <f t="shared" ref="B183:G183" si="30">B171+B176+B181</f>
        <v>0</v>
      </c>
      <c r="C183" s="45">
        <f t="shared" si="30"/>
        <v>0</v>
      </c>
      <c r="D183" s="45">
        <f t="shared" si="30"/>
        <v>0</v>
      </c>
      <c r="E183" s="45">
        <f t="shared" si="30"/>
        <v>0</v>
      </c>
      <c r="F183" s="128">
        <f t="shared" si="30"/>
        <v>0</v>
      </c>
      <c r="G183" s="112">
        <f t="shared" si="30"/>
        <v>0</v>
      </c>
      <c r="H183" s="119"/>
      <c r="I183" s="119"/>
      <c r="J183" s="119"/>
      <c r="K183" s="119"/>
    </row>
    <row r="184" spans="1:61" x14ac:dyDescent="0.2">
      <c r="A184" s="110" t="s">
        <v>96</v>
      </c>
      <c r="B184" s="45">
        <f>B183*2</f>
        <v>0</v>
      </c>
      <c r="C184" s="45">
        <f>C183*5.5</f>
        <v>0</v>
      </c>
      <c r="D184" s="45">
        <f>D183*11.5</f>
        <v>0</v>
      </c>
      <c r="E184" s="45">
        <f>E183*19</f>
        <v>0</v>
      </c>
      <c r="F184" s="128">
        <f>F183*23</f>
        <v>0</v>
      </c>
      <c r="G184" s="112">
        <f>SUM(B184:F184)</f>
        <v>0</v>
      </c>
      <c r="H184" s="119"/>
      <c r="I184" s="119"/>
      <c r="J184" s="119"/>
      <c r="K184" s="119"/>
    </row>
    <row r="185" spans="1:61" x14ac:dyDescent="0.2">
      <c r="A185" s="132" t="s">
        <v>97</v>
      </c>
      <c r="B185" s="345" t="s">
        <v>98</v>
      </c>
      <c r="C185" s="346"/>
      <c r="D185" s="346"/>
      <c r="E185" s="346"/>
      <c r="F185" s="347"/>
      <c r="G185" s="141" t="e">
        <f>G184/G183</f>
        <v>#DIV/0!</v>
      </c>
      <c r="H185" s="119"/>
      <c r="I185" s="119"/>
      <c r="J185" s="119"/>
      <c r="K185" s="119"/>
    </row>
    <row r="186" spans="1:61" ht="15.75" thickBot="1" x14ac:dyDescent="0.25">
      <c r="A186" s="143"/>
      <c r="B186" s="143"/>
      <c r="C186" s="143"/>
      <c r="D186" s="143"/>
      <c r="E186" s="143"/>
      <c r="F186" s="143"/>
      <c r="G186" s="144"/>
      <c r="H186" s="119"/>
      <c r="I186" s="119"/>
      <c r="J186" s="119"/>
      <c r="K186" s="119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</row>
    <row r="187" spans="1:61" ht="21" customHeight="1" thickBot="1" x14ac:dyDescent="0.25">
      <c r="A187" s="83" t="s">
        <v>103</v>
      </c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145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</row>
    <row r="188" spans="1:61" s="149" customFormat="1" ht="15.75" thickBot="1" x14ac:dyDescent="0.25">
      <c r="A188" s="146"/>
      <c r="B188" s="147" t="s">
        <v>2</v>
      </c>
      <c r="C188" s="147" t="s">
        <v>104</v>
      </c>
      <c r="D188" s="147" t="s">
        <v>105</v>
      </c>
      <c r="E188" s="147" t="s">
        <v>106</v>
      </c>
      <c r="F188" s="147" t="s">
        <v>107</v>
      </c>
      <c r="G188" s="147" t="s">
        <v>108</v>
      </c>
      <c r="H188" s="147" t="s">
        <v>109</v>
      </c>
      <c r="I188" s="147" t="s">
        <v>110</v>
      </c>
      <c r="J188" s="147" t="s">
        <v>111</v>
      </c>
      <c r="K188" s="147" t="s">
        <v>112</v>
      </c>
      <c r="L188" s="147" t="s">
        <v>113</v>
      </c>
      <c r="M188" s="147" t="s">
        <v>114</v>
      </c>
      <c r="N188" s="147" t="s">
        <v>115</v>
      </c>
      <c r="O188" s="147" t="s">
        <v>116</v>
      </c>
      <c r="P188" s="147" t="s">
        <v>117</v>
      </c>
      <c r="Q188" s="147" t="s">
        <v>118</v>
      </c>
      <c r="R188" s="147" t="s">
        <v>119</v>
      </c>
      <c r="S188" s="147" t="s">
        <v>120</v>
      </c>
      <c r="T188" s="147" t="s">
        <v>121</v>
      </c>
      <c r="U188" s="147" t="s">
        <v>122</v>
      </c>
      <c r="V188" s="147" t="s">
        <v>123</v>
      </c>
      <c r="W188" s="147" t="s">
        <v>124</v>
      </c>
      <c r="X188" s="147" t="s">
        <v>125</v>
      </c>
      <c r="Y188" s="147" t="s">
        <v>126</v>
      </c>
      <c r="Z188" s="147" t="s">
        <v>127</v>
      </c>
      <c r="AA188" s="147" t="s">
        <v>128</v>
      </c>
      <c r="AB188" s="147" t="s">
        <v>129</v>
      </c>
      <c r="AC188" s="147" t="s">
        <v>130</v>
      </c>
      <c r="AD188" s="147" t="s">
        <v>131</v>
      </c>
      <c r="AE188" s="147" t="s">
        <v>132</v>
      </c>
      <c r="AF188" s="147" t="s">
        <v>133</v>
      </c>
      <c r="AG188" s="147" t="s">
        <v>134</v>
      </c>
      <c r="AH188" s="147" t="s">
        <v>135</v>
      </c>
      <c r="AI188" s="147" t="s">
        <v>136</v>
      </c>
      <c r="AJ188" s="147" t="s">
        <v>137</v>
      </c>
      <c r="AK188" s="148" t="s">
        <v>0</v>
      </c>
    </row>
    <row r="189" spans="1:61" x14ac:dyDescent="0.2">
      <c r="A189" s="150" t="s">
        <v>65</v>
      </c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2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</row>
    <row r="190" spans="1:61" x14ac:dyDescent="0.2">
      <c r="A190" s="110" t="s">
        <v>92</v>
      </c>
      <c r="B190" s="44">
        <v>451</v>
      </c>
      <c r="C190" s="44">
        <v>51</v>
      </c>
      <c r="D190" s="44">
        <v>34</v>
      </c>
      <c r="E190" s="44">
        <v>0</v>
      </c>
      <c r="F190" s="44">
        <v>2</v>
      </c>
      <c r="G190" s="44">
        <v>3</v>
      </c>
      <c r="H190" s="44">
        <v>1</v>
      </c>
      <c r="I190" s="44">
        <v>0</v>
      </c>
      <c r="J190" s="44">
        <v>22</v>
      </c>
      <c r="K190" s="44">
        <v>0</v>
      </c>
      <c r="L190" s="44">
        <v>21</v>
      </c>
      <c r="M190" s="153">
        <v>3</v>
      </c>
      <c r="N190" s="153">
        <v>0</v>
      </c>
      <c r="O190" s="153">
        <v>1</v>
      </c>
      <c r="P190" s="153">
        <v>3</v>
      </c>
      <c r="Q190" s="153">
        <v>0</v>
      </c>
      <c r="R190" s="153">
        <v>0</v>
      </c>
      <c r="S190" s="153">
        <v>0</v>
      </c>
      <c r="T190" s="153">
        <v>4</v>
      </c>
      <c r="U190" s="153">
        <v>4</v>
      </c>
      <c r="V190" s="153">
        <v>2</v>
      </c>
      <c r="W190" s="153">
        <v>6</v>
      </c>
      <c r="X190" s="153">
        <v>9</v>
      </c>
      <c r="Y190" s="153">
        <v>1</v>
      </c>
      <c r="Z190" s="153">
        <v>4</v>
      </c>
      <c r="AA190" s="153">
        <v>5</v>
      </c>
      <c r="AB190" s="153">
        <v>65</v>
      </c>
      <c r="AC190" s="153">
        <v>1</v>
      </c>
      <c r="AD190" s="153">
        <v>23</v>
      </c>
      <c r="AE190" s="153">
        <v>1</v>
      </c>
      <c r="AF190" s="153">
        <v>0</v>
      </c>
      <c r="AG190" s="153">
        <v>10</v>
      </c>
      <c r="AH190" s="153">
        <v>6</v>
      </c>
      <c r="AI190" s="153">
        <v>39</v>
      </c>
      <c r="AJ190" s="153">
        <v>9</v>
      </c>
      <c r="AK190" s="46">
        <f>SUM(B190:AJ190)</f>
        <v>781</v>
      </c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</row>
    <row r="191" spans="1:61" x14ac:dyDescent="0.2">
      <c r="A191" s="110" t="s">
        <v>93</v>
      </c>
      <c r="B191" s="44">
        <v>1164</v>
      </c>
      <c r="C191" s="44">
        <v>131</v>
      </c>
      <c r="D191" s="44">
        <v>157</v>
      </c>
      <c r="E191" s="44">
        <v>37</v>
      </c>
      <c r="F191" s="44">
        <v>9</v>
      </c>
      <c r="G191" s="44">
        <v>1</v>
      </c>
      <c r="H191" s="44">
        <v>1</v>
      </c>
      <c r="I191" s="44">
        <v>3</v>
      </c>
      <c r="J191" s="44">
        <v>150</v>
      </c>
      <c r="K191" s="44">
        <v>1</v>
      </c>
      <c r="L191" s="44">
        <v>88</v>
      </c>
      <c r="M191" s="153">
        <v>6</v>
      </c>
      <c r="N191" s="153">
        <v>5</v>
      </c>
      <c r="O191" s="153">
        <v>2</v>
      </c>
      <c r="P191" s="153">
        <v>49</v>
      </c>
      <c r="Q191" s="153">
        <v>0</v>
      </c>
      <c r="R191" s="153">
        <v>0</v>
      </c>
      <c r="S191" s="153">
        <v>0</v>
      </c>
      <c r="T191" s="153">
        <v>39</v>
      </c>
      <c r="U191" s="153">
        <v>21</v>
      </c>
      <c r="V191" s="153">
        <v>27</v>
      </c>
      <c r="W191" s="153">
        <v>21</v>
      </c>
      <c r="X191" s="153">
        <v>34</v>
      </c>
      <c r="Y191" s="153">
        <v>10</v>
      </c>
      <c r="Z191" s="153">
        <v>79</v>
      </c>
      <c r="AA191" s="153">
        <v>16</v>
      </c>
      <c r="AB191" s="153">
        <v>30</v>
      </c>
      <c r="AC191" s="153">
        <v>0</v>
      </c>
      <c r="AD191" s="153">
        <v>28</v>
      </c>
      <c r="AE191" s="153">
        <v>2</v>
      </c>
      <c r="AF191" s="153">
        <v>4</v>
      </c>
      <c r="AG191" s="153">
        <v>428</v>
      </c>
      <c r="AH191" s="153">
        <v>269</v>
      </c>
      <c r="AI191" s="153">
        <v>110</v>
      </c>
      <c r="AJ191" s="153">
        <v>67</v>
      </c>
      <c r="AK191" s="46">
        <f>SUM(B191:AJ191)</f>
        <v>2989</v>
      </c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</row>
    <row r="192" spans="1:61" x14ac:dyDescent="0.2">
      <c r="A192" s="110" t="s">
        <v>1</v>
      </c>
      <c r="B192" s="44">
        <v>276</v>
      </c>
      <c r="C192" s="44">
        <v>36</v>
      </c>
      <c r="D192" s="44">
        <v>51</v>
      </c>
      <c r="E192" s="44">
        <v>9</v>
      </c>
      <c r="F192" s="44">
        <v>59</v>
      </c>
      <c r="G192" s="44">
        <v>22</v>
      </c>
      <c r="H192" s="44">
        <v>3</v>
      </c>
      <c r="I192" s="44">
        <v>62</v>
      </c>
      <c r="J192" s="44">
        <v>515</v>
      </c>
      <c r="K192" s="44">
        <v>0</v>
      </c>
      <c r="L192" s="44">
        <v>97</v>
      </c>
      <c r="M192" s="153">
        <v>0</v>
      </c>
      <c r="N192" s="153">
        <v>0</v>
      </c>
      <c r="O192" s="153">
        <v>0</v>
      </c>
      <c r="P192" s="153">
        <v>0</v>
      </c>
      <c r="Q192" s="153">
        <v>0</v>
      </c>
      <c r="R192" s="153">
        <v>0</v>
      </c>
      <c r="S192" s="153">
        <v>0</v>
      </c>
      <c r="T192" s="153">
        <v>0</v>
      </c>
      <c r="U192" s="153">
        <v>0</v>
      </c>
      <c r="V192" s="153">
        <v>3</v>
      </c>
      <c r="W192" s="153">
        <v>0</v>
      </c>
      <c r="X192" s="153">
        <v>0</v>
      </c>
      <c r="Y192" s="153">
        <v>0</v>
      </c>
      <c r="Z192" s="153">
        <v>0</v>
      </c>
      <c r="AA192" s="153">
        <v>0</v>
      </c>
      <c r="AB192" s="153">
        <v>0</v>
      </c>
      <c r="AC192" s="153">
        <v>0</v>
      </c>
      <c r="AD192" s="153">
        <v>0</v>
      </c>
      <c r="AE192" s="153">
        <v>0</v>
      </c>
      <c r="AF192" s="153">
        <v>0</v>
      </c>
      <c r="AG192" s="153">
        <v>1</v>
      </c>
      <c r="AH192" s="153">
        <v>17</v>
      </c>
      <c r="AI192" s="153">
        <v>50</v>
      </c>
      <c r="AJ192" s="153">
        <v>13</v>
      </c>
      <c r="AK192" s="46">
        <f>SUM(B192:AJ192)</f>
        <v>1214</v>
      </c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</row>
    <row r="193" spans="1:61" x14ac:dyDescent="0.2">
      <c r="A193" s="154" t="s">
        <v>7</v>
      </c>
      <c r="B193" s="155">
        <f t="shared" ref="B193:AJ193" si="31">B190+B191+B192</f>
        <v>1891</v>
      </c>
      <c r="C193" s="155">
        <f t="shared" si="31"/>
        <v>218</v>
      </c>
      <c r="D193" s="155">
        <f t="shared" si="31"/>
        <v>242</v>
      </c>
      <c r="E193" s="155">
        <f t="shared" si="31"/>
        <v>46</v>
      </c>
      <c r="F193" s="155">
        <f t="shared" si="31"/>
        <v>70</v>
      </c>
      <c r="G193" s="155">
        <f t="shared" si="31"/>
        <v>26</v>
      </c>
      <c r="H193" s="155">
        <f t="shared" si="31"/>
        <v>5</v>
      </c>
      <c r="I193" s="156">
        <f>I190+I191+I192</f>
        <v>65</v>
      </c>
      <c r="J193" s="156">
        <f>J190+J191+J192</f>
        <v>687</v>
      </c>
      <c r="K193" s="156">
        <f>K190+K191+K192</f>
        <v>1</v>
      </c>
      <c r="L193" s="155">
        <f t="shared" si="31"/>
        <v>206</v>
      </c>
      <c r="M193" s="156">
        <f t="shared" si="31"/>
        <v>9</v>
      </c>
      <c r="N193" s="156">
        <f t="shared" si="31"/>
        <v>5</v>
      </c>
      <c r="O193" s="156">
        <f t="shared" si="31"/>
        <v>3</v>
      </c>
      <c r="P193" s="156">
        <f t="shared" si="31"/>
        <v>52</v>
      </c>
      <c r="Q193" s="156">
        <f t="shared" si="31"/>
        <v>0</v>
      </c>
      <c r="R193" s="156">
        <f t="shared" si="31"/>
        <v>0</v>
      </c>
      <c r="S193" s="156">
        <f t="shared" si="31"/>
        <v>0</v>
      </c>
      <c r="T193" s="156">
        <f t="shared" si="31"/>
        <v>43</v>
      </c>
      <c r="U193" s="156">
        <f t="shared" si="31"/>
        <v>25</v>
      </c>
      <c r="V193" s="156">
        <f t="shared" si="31"/>
        <v>32</v>
      </c>
      <c r="W193" s="156">
        <f t="shared" si="31"/>
        <v>27</v>
      </c>
      <c r="X193" s="156">
        <f t="shared" si="31"/>
        <v>43</v>
      </c>
      <c r="Y193" s="156">
        <f t="shared" si="31"/>
        <v>11</v>
      </c>
      <c r="Z193" s="156">
        <f t="shared" si="31"/>
        <v>83</v>
      </c>
      <c r="AA193" s="156">
        <f t="shared" si="31"/>
        <v>21</v>
      </c>
      <c r="AB193" s="156">
        <f t="shared" si="31"/>
        <v>95</v>
      </c>
      <c r="AC193" s="156">
        <f t="shared" si="31"/>
        <v>1</v>
      </c>
      <c r="AD193" s="156">
        <f t="shared" si="31"/>
        <v>51</v>
      </c>
      <c r="AE193" s="156">
        <f t="shared" si="31"/>
        <v>3</v>
      </c>
      <c r="AF193" s="156">
        <f t="shared" si="31"/>
        <v>4</v>
      </c>
      <c r="AG193" s="156">
        <f t="shared" si="31"/>
        <v>439</v>
      </c>
      <c r="AH193" s="156">
        <f t="shared" si="31"/>
        <v>292</v>
      </c>
      <c r="AI193" s="156">
        <f t="shared" si="31"/>
        <v>199</v>
      </c>
      <c r="AJ193" s="156">
        <f t="shared" si="31"/>
        <v>89</v>
      </c>
      <c r="AK193" s="157">
        <f>SUM(AK190:AK192)</f>
        <v>4984</v>
      </c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</row>
    <row r="194" spans="1:61" x14ac:dyDescent="0.2">
      <c r="A194" s="120" t="s">
        <v>66</v>
      </c>
      <c r="B194" s="45" t="s">
        <v>138</v>
      </c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46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</row>
    <row r="195" spans="1:61" x14ac:dyDescent="0.2">
      <c r="A195" s="110" t="s">
        <v>92</v>
      </c>
      <c r="B195" s="44">
        <v>518</v>
      </c>
      <c r="C195" s="44">
        <v>22</v>
      </c>
      <c r="D195" s="44">
        <v>47</v>
      </c>
      <c r="E195" s="44">
        <v>3</v>
      </c>
      <c r="F195" s="44">
        <v>3</v>
      </c>
      <c r="G195" s="44">
        <v>0</v>
      </c>
      <c r="H195" s="44">
        <v>0</v>
      </c>
      <c r="I195" s="44">
        <v>2</v>
      </c>
      <c r="J195" s="44">
        <v>11</v>
      </c>
      <c r="K195" s="44">
        <v>0</v>
      </c>
      <c r="L195" s="44">
        <v>6</v>
      </c>
      <c r="M195" s="153">
        <v>8</v>
      </c>
      <c r="N195" s="153">
        <v>0</v>
      </c>
      <c r="O195" s="153">
        <v>0</v>
      </c>
      <c r="P195" s="153">
        <v>37</v>
      </c>
      <c r="Q195" s="153">
        <v>1</v>
      </c>
      <c r="R195" s="153">
        <v>1</v>
      </c>
      <c r="S195" s="153">
        <v>0</v>
      </c>
      <c r="T195" s="153">
        <v>5</v>
      </c>
      <c r="U195" s="153">
        <v>9</v>
      </c>
      <c r="V195" s="153">
        <v>5</v>
      </c>
      <c r="W195" s="153">
        <v>8</v>
      </c>
      <c r="X195" s="153">
        <v>7</v>
      </c>
      <c r="Y195" s="153">
        <v>3</v>
      </c>
      <c r="Z195" s="153">
        <v>8</v>
      </c>
      <c r="AA195" s="153">
        <v>5</v>
      </c>
      <c r="AB195" s="153">
        <v>75</v>
      </c>
      <c r="AC195" s="153">
        <v>2</v>
      </c>
      <c r="AD195" s="153">
        <v>19</v>
      </c>
      <c r="AE195" s="153">
        <v>1</v>
      </c>
      <c r="AF195" s="153">
        <v>3</v>
      </c>
      <c r="AG195" s="153">
        <v>8</v>
      </c>
      <c r="AH195" s="153">
        <v>5</v>
      </c>
      <c r="AI195" s="153">
        <v>35</v>
      </c>
      <c r="AJ195" s="153">
        <v>16</v>
      </c>
      <c r="AK195" s="46">
        <f>SUM(B195:AJ195)</f>
        <v>873</v>
      </c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</row>
    <row r="196" spans="1:61" x14ac:dyDescent="0.2">
      <c r="A196" s="110" t="s">
        <v>93</v>
      </c>
      <c r="B196" s="44">
        <v>1595</v>
      </c>
      <c r="C196" s="44">
        <v>119</v>
      </c>
      <c r="D196" s="44">
        <v>139</v>
      </c>
      <c r="E196" s="44">
        <v>24</v>
      </c>
      <c r="F196" s="44">
        <v>11</v>
      </c>
      <c r="G196" s="44">
        <v>4</v>
      </c>
      <c r="H196" s="44">
        <v>3</v>
      </c>
      <c r="I196" s="44">
        <v>3</v>
      </c>
      <c r="J196" s="44">
        <v>194</v>
      </c>
      <c r="K196" s="44">
        <v>0</v>
      </c>
      <c r="L196" s="44">
        <v>100</v>
      </c>
      <c r="M196" s="153">
        <v>2</v>
      </c>
      <c r="N196" s="153">
        <v>9</v>
      </c>
      <c r="O196" s="153">
        <v>0</v>
      </c>
      <c r="P196" s="153">
        <v>49</v>
      </c>
      <c r="Q196" s="153">
        <v>0</v>
      </c>
      <c r="R196" s="153">
        <v>0</v>
      </c>
      <c r="S196" s="153">
        <v>1</v>
      </c>
      <c r="T196" s="153">
        <v>29</v>
      </c>
      <c r="U196" s="153">
        <v>25</v>
      </c>
      <c r="V196" s="153">
        <v>18</v>
      </c>
      <c r="W196" s="153">
        <v>18</v>
      </c>
      <c r="X196" s="153">
        <v>28</v>
      </c>
      <c r="Y196" s="153">
        <v>3</v>
      </c>
      <c r="Z196" s="153">
        <v>39</v>
      </c>
      <c r="AA196" s="153">
        <v>9</v>
      </c>
      <c r="AB196" s="153">
        <v>34</v>
      </c>
      <c r="AC196" s="153">
        <v>4</v>
      </c>
      <c r="AD196" s="153">
        <v>37</v>
      </c>
      <c r="AE196" s="153">
        <v>7</v>
      </c>
      <c r="AF196" s="153">
        <v>6</v>
      </c>
      <c r="AG196" s="153">
        <v>396</v>
      </c>
      <c r="AH196" s="153">
        <v>297</v>
      </c>
      <c r="AI196" s="153">
        <v>86</v>
      </c>
      <c r="AJ196" s="153">
        <v>52</v>
      </c>
      <c r="AK196" s="46">
        <f>SUM(B196:AJ196)</f>
        <v>3341</v>
      </c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</row>
    <row r="197" spans="1:61" x14ac:dyDescent="0.2">
      <c r="A197" s="110" t="s">
        <v>1</v>
      </c>
      <c r="B197" s="44">
        <v>537</v>
      </c>
      <c r="C197" s="44">
        <v>48</v>
      </c>
      <c r="D197" s="44">
        <v>90</v>
      </c>
      <c r="E197" s="44">
        <v>9</v>
      </c>
      <c r="F197" s="44">
        <v>68</v>
      </c>
      <c r="G197" s="44">
        <v>36</v>
      </c>
      <c r="H197" s="44">
        <v>10</v>
      </c>
      <c r="I197" s="44">
        <v>10</v>
      </c>
      <c r="J197" s="44">
        <v>304</v>
      </c>
      <c r="K197" s="44">
        <v>0</v>
      </c>
      <c r="L197" s="44">
        <v>118</v>
      </c>
      <c r="M197" s="153">
        <v>0</v>
      </c>
      <c r="N197" s="153">
        <v>0</v>
      </c>
      <c r="O197" s="153">
        <v>0</v>
      </c>
      <c r="P197" s="153">
        <v>0</v>
      </c>
      <c r="Q197" s="153">
        <v>0</v>
      </c>
      <c r="R197" s="153">
        <v>0</v>
      </c>
      <c r="S197" s="153">
        <v>0</v>
      </c>
      <c r="T197" s="153">
        <v>1</v>
      </c>
      <c r="U197" s="153">
        <v>0</v>
      </c>
      <c r="V197" s="153">
        <v>0</v>
      </c>
      <c r="W197" s="153">
        <v>0</v>
      </c>
      <c r="X197" s="153">
        <v>0</v>
      </c>
      <c r="Y197" s="153">
        <v>0</v>
      </c>
      <c r="Z197" s="153">
        <v>0</v>
      </c>
      <c r="AA197" s="153">
        <v>0</v>
      </c>
      <c r="AB197" s="153">
        <v>0</v>
      </c>
      <c r="AC197" s="153">
        <v>0</v>
      </c>
      <c r="AD197" s="153">
        <v>0</v>
      </c>
      <c r="AE197" s="153">
        <v>0</v>
      </c>
      <c r="AF197" s="153">
        <v>0</v>
      </c>
      <c r="AG197" s="153">
        <v>0</v>
      </c>
      <c r="AH197" s="153">
        <v>22</v>
      </c>
      <c r="AI197" s="153">
        <v>59</v>
      </c>
      <c r="AJ197" s="153">
        <v>23</v>
      </c>
      <c r="AK197" s="46">
        <f>SUM(B197:AJ197)</f>
        <v>1335</v>
      </c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</row>
    <row r="198" spans="1:61" x14ac:dyDescent="0.2">
      <c r="A198" s="154" t="s">
        <v>7</v>
      </c>
      <c r="B198" s="155">
        <f t="shared" ref="B198:AJ198" si="32">B195+B196+B197</f>
        <v>2650</v>
      </c>
      <c r="C198" s="155">
        <f t="shared" si="32"/>
        <v>189</v>
      </c>
      <c r="D198" s="155">
        <f t="shared" si="32"/>
        <v>276</v>
      </c>
      <c r="E198" s="155">
        <f t="shared" si="32"/>
        <v>36</v>
      </c>
      <c r="F198" s="155">
        <f t="shared" si="32"/>
        <v>82</v>
      </c>
      <c r="G198" s="155">
        <f t="shared" si="32"/>
        <v>40</v>
      </c>
      <c r="H198" s="155">
        <f t="shared" si="32"/>
        <v>13</v>
      </c>
      <c r="I198" s="155">
        <f>I195+I196+I197</f>
        <v>15</v>
      </c>
      <c r="J198" s="155">
        <f>J195+J196+J197</f>
        <v>509</v>
      </c>
      <c r="K198" s="156">
        <f>K195+K196+K197</f>
        <v>0</v>
      </c>
      <c r="L198" s="155">
        <f t="shared" si="32"/>
        <v>224</v>
      </c>
      <c r="M198" s="156">
        <f t="shared" si="32"/>
        <v>10</v>
      </c>
      <c r="N198" s="156">
        <f t="shared" si="32"/>
        <v>9</v>
      </c>
      <c r="O198" s="156">
        <f t="shared" si="32"/>
        <v>0</v>
      </c>
      <c r="P198" s="156">
        <f t="shared" si="32"/>
        <v>86</v>
      </c>
      <c r="Q198" s="156">
        <f t="shared" si="32"/>
        <v>1</v>
      </c>
      <c r="R198" s="156">
        <f t="shared" si="32"/>
        <v>1</v>
      </c>
      <c r="S198" s="156">
        <f t="shared" si="32"/>
        <v>1</v>
      </c>
      <c r="T198" s="156">
        <f t="shared" si="32"/>
        <v>35</v>
      </c>
      <c r="U198" s="156">
        <f t="shared" si="32"/>
        <v>34</v>
      </c>
      <c r="V198" s="156">
        <f t="shared" si="32"/>
        <v>23</v>
      </c>
      <c r="W198" s="156">
        <f t="shared" si="32"/>
        <v>26</v>
      </c>
      <c r="X198" s="156">
        <f t="shared" si="32"/>
        <v>35</v>
      </c>
      <c r="Y198" s="156">
        <f t="shared" si="32"/>
        <v>6</v>
      </c>
      <c r="Z198" s="156">
        <f t="shared" si="32"/>
        <v>47</v>
      </c>
      <c r="AA198" s="156">
        <f t="shared" si="32"/>
        <v>14</v>
      </c>
      <c r="AB198" s="156">
        <f t="shared" si="32"/>
        <v>109</v>
      </c>
      <c r="AC198" s="156">
        <f t="shared" si="32"/>
        <v>6</v>
      </c>
      <c r="AD198" s="156">
        <f t="shared" si="32"/>
        <v>56</v>
      </c>
      <c r="AE198" s="156">
        <f t="shared" si="32"/>
        <v>8</v>
      </c>
      <c r="AF198" s="156">
        <f t="shared" si="32"/>
        <v>9</v>
      </c>
      <c r="AG198" s="156">
        <f t="shared" si="32"/>
        <v>404</v>
      </c>
      <c r="AH198" s="156">
        <f t="shared" si="32"/>
        <v>324</v>
      </c>
      <c r="AI198" s="156">
        <f t="shared" si="32"/>
        <v>180</v>
      </c>
      <c r="AJ198" s="156">
        <f t="shared" si="32"/>
        <v>91</v>
      </c>
      <c r="AK198" s="157">
        <f>SUM(AK195:AK197)</f>
        <v>5549</v>
      </c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</row>
    <row r="199" spans="1:61" x14ac:dyDescent="0.2">
      <c r="A199" s="120" t="s">
        <v>67</v>
      </c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46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</row>
    <row r="200" spans="1:61" x14ac:dyDescent="0.2">
      <c r="A200" s="110" t="s">
        <v>92</v>
      </c>
      <c r="B200" s="44">
        <v>43</v>
      </c>
      <c r="C200" s="44">
        <v>4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153">
        <v>0</v>
      </c>
      <c r="N200" s="153">
        <v>0</v>
      </c>
      <c r="O200" s="153">
        <v>0</v>
      </c>
      <c r="P200" s="153">
        <v>0</v>
      </c>
      <c r="Q200" s="153">
        <v>0</v>
      </c>
      <c r="R200" s="153">
        <v>0</v>
      </c>
      <c r="S200" s="153">
        <v>0</v>
      </c>
      <c r="T200" s="153">
        <v>0</v>
      </c>
      <c r="U200" s="153">
        <v>0</v>
      </c>
      <c r="V200" s="153">
        <v>0</v>
      </c>
      <c r="W200" s="153">
        <v>0</v>
      </c>
      <c r="X200" s="153">
        <v>0</v>
      </c>
      <c r="Y200" s="153">
        <v>0</v>
      </c>
      <c r="Z200" s="153">
        <v>2</v>
      </c>
      <c r="AA200" s="153">
        <v>0</v>
      </c>
      <c r="AB200" s="153">
        <v>4</v>
      </c>
      <c r="AC200" s="153">
        <v>0</v>
      </c>
      <c r="AD200" s="153">
        <v>0</v>
      </c>
      <c r="AE200" s="153">
        <v>1</v>
      </c>
      <c r="AF200" s="153">
        <v>1</v>
      </c>
      <c r="AG200" s="153">
        <v>0</v>
      </c>
      <c r="AH200" s="153">
        <v>0</v>
      </c>
      <c r="AI200" s="153">
        <v>3</v>
      </c>
      <c r="AJ200" s="153">
        <v>0</v>
      </c>
      <c r="AK200" s="46">
        <f>SUM(B200:AJ200)</f>
        <v>58</v>
      </c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</row>
    <row r="201" spans="1:61" x14ac:dyDescent="0.2">
      <c r="A201" s="110" t="s">
        <v>93</v>
      </c>
      <c r="B201" s="44">
        <v>1991</v>
      </c>
      <c r="C201" s="44">
        <v>156</v>
      </c>
      <c r="D201" s="44">
        <v>197</v>
      </c>
      <c r="E201" s="44">
        <v>37</v>
      </c>
      <c r="F201" s="44">
        <v>38</v>
      </c>
      <c r="G201" s="44">
        <v>9</v>
      </c>
      <c r="H201" s="44">
        <v>8</v>
      </c>
      <c r="I201" s="44">
        <v>8</v>
      </c>
      <c r="J201" s="44">
        <v>240</v>
      </c>
      <c r="K201" s="44">
        <v>0</v>
      </c>
      <c r="L201" s="44">
        <v>157</v>
      </c>
      <c r="M201" s="153">
        <v>0</v>
      </c>
      <c r="N201" s="153">
        <v>1</v>
      </c>
      <c r="O201" s="153">
        <v>3</v>
      </c>
      <c r="P201" s="153">
        <v>57</v>
      </c>
      <c r="Q201" s="153">
        <v>3</v>
      </c>
      <c r="R201" s="153">
        <v>0</v>
      </c>
      <c r="S201" s="153">
        <v>0</v>
      </c>
      <c r="T201" s="153">
        <v>38</v>
      </c>
      <c r="U201" s="153">
        <v>30</v>
      </c>
      <c r="V201" s="153">
        <v>30</v>
      </c>
      <c r="W201" s="153">
        <v>25</v>
      </c>
      <c r="X201" s="153">
        <v>40</v>
      </c>
      <c r="Y201" s="153">
        <v>5</v>
      </c>
      <c r="Z201" s="153">
        <v>79</v>
      </c>
      <c r="AA201" s="153">
        <v>31</v>
      </c>
      <c r="AB201" s="153">
        <v>30</v>
      </c>
      <c r="AC201" s="153">
        <v>0</v>
      </c>
      <c r="AD201" s="153">
        <v>70</v>
      </c>
      <c r="AE201" s="153">
        <v>7</v>
      </c>
      <c r="AF201" s="153">
        <v>7</v>
      </c>
      <c r="AG201" s="153">
        <v>529</v>
      </c>
      <c r="AH201" s="153">
        <v>507</v>
      </c>
      <c r="AI201" s="153">
        <v>90</v>
      </c>
      <c r="AJ201" s="153">
        <v>54</v>
      </c>
      <c r="AK201" s="46">
        <f>SUM(B201:AJ201)</f>
        <v>4477</v>
      </c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</row>
    <row r="202" spans="1:61" x14ac:dyDescent="0.2">
      <c r="A202" s="110" t="s">
        <v>1</v>
      </c>
      <c r="B202" s="44">
        <v>438</v>
      </c>
      <c r="C202" s="44">
        <v>55</v>
      </c>
      <c r="D202" s="44">
        <v>32</v>
      </c>
      <c r="E202" s="44">
        <v>3</v>
      </c>
      <c r="F202" s="44">
        <v>29</v>
      </c>
      <c r="G202" s="44">
        <v>3</v>
      </c>
      <c r="H202" s="44">
        <v>8</v>
      </c>
      <c r="I202" s="44">
        <v>0</v>
      </c>
      <c r="J202" s="44">
        <v>132</v>
      </c>
      <c r="K202" s="44">
        <v>0</v>
      </c>
      <c r="L202" s="44">
        <v>67</v>
      </c>
      <c r="M202" s="153">
        <v>0</v>
      </c>
      <c r="N202" s="153">
        <v>0</v>
      </c>
      <c r="O202" s="153">
        <v>0</v>
      </c>
      <c r="P202" s="153">
        <v>0</v>
      </c>
      <c r="Q202" s="153">
        <v>0</v>
      </c>
      <c r="R202" s="153">
        <v>0</v>
      </c>
      <c r="S202" s="153">
        <v>0</v>
      </c>
      <c r="T202" s="153">
        <v>0</v>
      </c>
      <c r="U202" s="153">
        <v>0</v>
      </c>
      <c r="V202" s="153">
        <v>0</v>
      </c>
      <c r="W202" s="153">
        <v>0</v>
      </c>
      <c r="X202" s="153">
        <v>0</v>
      </c>
      <c r="Y202" s="153">
        <v>0</v>
      </c>
      <c r="Z202" s="153">
        <v>0</v>
      </c>
      <c r="AA202" s="153">
        <v>0</v>
      </c>
      <c r="AB202" s="153">
        <v>0</v>
      </c>
      <c r="AC202" s="153">
        <v>0</v>
      </c>
      <c r="AD202" s="153">
        <v>0</v>
      </c>
      <c r="AE202" s="153">
        <v>0</v>
      </c>
      <c r="AF202" s="153">
        <v>0</v>
      </c>
      <c r="AG202" s="153">
        <v>0</v>
      </c>
      <c r="AH202" s="153">
        <v>34</v>
      </c>
      <c r="AI202" s="153">
        <v>40</v>
      </c>
      <c r="AJ202" s="153">
        <v>14</v>
      </c>
      <c r="AK202" s="46">
        <f>SUM(B202:AJ202)</f>
        <v>855</v>
      </c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</row>
    <row r="203" spans="1:61" x14ac:dyDescent="0.2">
      <c r="A203" s="154" t="s">
        <v>7</v>
      </c>
      <c r="B203" s="155">
        <f>SUM(B200:B202)</f>
        <v>2472</v>
      </c>
      <c r="C203" s="155">
        <f t="shared" ref="C203:L203" si="33">SUM(C200:C202)</f>
        <v>215</v>
      </c>
      <c r="D203" s="155">
        <f t="shared" si="33"/>
        <v>229</v>
      </c>
      <c r="E203" s="155">
        <f t="shared" si="33"/>
        <v>40</v>
      </c>
      <c r="F203" s="155">
        <f t="shared" si="33"/>
        <v>67</v>
      </c>
      <c r="G203" s="155">
        <f t="shared" si="33"/>
        <v>12</v>
      </c>
      <c r="H203" s="155">
        <f t="shared" si="33"/>
        <v>16</v>
      </c>
      <c r="I203" s="156">
        <f>SUM(I200:I202)</f>
        <v>8</v>
      </c>
      <c r="J203" s="156">
        <f>SUM(J200:J202)</f>
        <v>372</v>
      </c>
      <c r="K203" s="156">
        <f>SUM(K200:K202)</f>
        <v>0</v>
      </c>
      <c r="L203" s="156">
        <f t="shared" si="33"/>
        <v>224</v>
      </c>
      <c r="M203" s="156">
        <f t="shared" ref="M203:AK203" si="34">M200+M201+M202</f>
        <v>0</v>
      </c>
      <c r="N203" s="156">
        <f t="shared" si="34"/>
        <v>1</v>
      </c>
      <c r="O203" s="156">
        <f t="shared" si="34"/>
        <v>3</v>
      </c>
      <c r="P203" s="156">
        <f t="shared" si="34"/>
        <v>57</v>
      </c>
      <c r="Q203" s="156">
        <f t="shared" si="34"/>
        <v>3</v>
      </c>
      <c r="R203" s="156">
        <f t="shared" si="34"/>
        <v>0</v>
      </c>
      <c r="S203" s="156">
        <f t="shared" si="34"/>
        <v>0</v>
      </c>
      <c r="T203" s="156">
        <f t="shared" si="34"/>
        <v>38</v>
      </c>
      <c r="U203" s="156">
        <f t="shared" si="34"/>
        <v>30</v>
      </c>
      <c r="V203" s="156">
        <f t="shared" si="34"/>
        <v>30</v>
      </c>
      <c r="W203" s="156">
        <f t="shared" si="34"/>
        <v>25</v>
      </c>
      <c r="X203" s="156">
        <f t="shared" si="34"/>
        <v>40</v>
      </c>
      <c r="Y203" s="156">
        <f t="shared" si="34"/>
        <v>5</v>
      </c>
      <c r="Z203" s="156">
        <f t="shared" si="34"/>
        <v>81</v>
      </c>
      <c r="AA203" s="156">
        <f t="shared" si="34"/>
        <v>31</v>
      </c>
      <c r="AB203" s="156">
        <f t="shared" si="34"/>
        <v>34</v>
      </c>
      <c r="AC203" s="156">
        <f t="shared" si="34"/>
        <v>0</v>
      </c>
      <c r="AD203" s="156">
        <f t="shared" si="34"/>
        <v>70</v>
      </c>
      <c r="AE203" s="156">
        <f t="shared" si="34"/>
        <v>8</v>
      </c>
      <c r="AF203" s="156">
        <f t="shared" si="34"/>
        <v>8</v>
      </c>
      <c r="AG203" s="156">
        <f t="shared" si="34"/>
        <v>529</v>
      </c>
      <c r="AH203" s="156">
        <f t="shared" si="34"/>
        <v>541</v>
      </c>
      <c r="AI203" s="156">
        <f t="shared" si="34"/>
        <v>133</v>
      </c>
      <c r="AJ203" s="156">
        <f t="shared" si="34"/>
        <v>68</v>
      </c>
      <c r="AK203" s="157">
        <f t="shared" si="34"/>
        <v>5390</v>
      </c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</row>
    <row r="204" spans="1:61" x14ac:dyDescent="0.2">
      <c r="A204" s="120" t="s">
        <v>68</v>
      </c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46"/>
      <c r="AL204" s="31"/>
      <c r="AM204" s="31">
        <v>10</v>
      </c>
      <c r="AN204" s="31"/>
      <c r="AO204" s="31">
        <v>65</v>
      </c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</row>
    <row r="205" spans="1:61" x14ac:dyDescent="0.2">
      <c r="A205" s="110" t="s">
        <v>92</v>
      </c>
      <c r="B205" s="44">
        <v>646</v>
      </c>
      <c r="C205" s="44">
        <v>30</v>
      </c>
      <c r="D205" s="44">
        <v>51</v>
      </c>
      <c r="E205" s="44">
        <v>4</v>
      </c>
      <c r="F205" s="44">
        <v>4</v>
      </c>
      <c r="G205" s="44">
        <v>0</v>
      </c>
      <c r="H205" s="44">
        <v>0</v>
      </c>
      <c r="I205" s="44">
        <v>7</v>
      </c>
      <c r="J205" s="44">
        <v>14</v>
      </c>
      <c r="K205" s="44">
        <v>0</v>
      </c>
      <c r="L205" s="44">
        <v>27</v>
      </c>
      <c r="M205" s="153">
        <v>17</v>
      </c>
      <c r="N205" s="153">
        <v>1</v>
      </c>
      <c r="O205" s="153">
        <v>0</v>
      </c>
      <c r="P205" s="153">
        <v>8</v>
      </c>
      <c r="Q205" s="153">
        <v>0</v>
      </c>
      <c r="R205" s="153">
        <v>0</v>
      </c>
      <c r="S205" s="153">
        <v>2</v>
      </c>
      <c r="T205" s="153">
        <v>6</v>
      </c>
      <c r="U205" s="153">
        <v>4</v>
      </c>
      <c r="V205" s="153">
        <v>0</v>
      </c>
      <c r="W205" s="153">
        <v>4</v>
      </c>
      <c r="X205" s="153">
        <v>3</v>
      </c>
      <c r="Y205" s="153">
        <v>3</v>
      </c>
      <c r="Z205" s="153">
        <v>6</v>
      </c>
      <c r="AA205" s="153">
        <v>5</v>
      </c>
      <c r="AB205" s="153">
        <v>56</v>
      </c>
      <c r="AC205" s="153">
        <v>0</v>
      </c>
      <c r="AD205" s="153">
        <v>23</v>
      </c>
      <c r="AE205" s="153">
        <v>0</v>
      </c>
      <c r="AF205" s="153">
        <v>0</v>
      </c>
      <c r="AG205" s="153">
        <v>10</v>
      </c>
      <c r="AH205" s="153">
        <v>4</v>
      </c>
      <c r="AI205" s="153">
        <v>54</v>
      </c>
      <c r="AJ205" s="153">
        <v>12</v>
      </c>
      <c r="AK205" s="46">
        <f>SUM(B205:AJ205)</f>
        <v>1001</v>
      </c>
      <c r="AL205" s="31"/>
      <c r="AM205" s="31">
        <v>1</v>
      </c>
      <c r="AN205" s="31"/>
      <c r="AO205" s="31">
        <v>6</v>
      </c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</row>
    <row r="206" spans="1:61" x14ac:dyDescent="0.2">
      <c r="A206" s="110" t="s">
        <v>93</v>
      </c>
      <c r="B206" s="44">
        <v>2029</v>
      </c>
      <c r="C206" s="44">
        <v>190</v>
      </c>
      <c r="D206" s="44">
        <v>187</v>
      </c>
      <c r="E206" s="44">
        <v>41</v>
      </c>
      <c r="F206" s="44">
        <v>21</v>
      </c>
      <c r="G206" s="44">
        <v>14</v>
      </c>
      <c r="H206" s="44">
        <v>8</v>
      </c>
      <c r="I206" s="44">
        <v>19</v>
      </c>
      <c r="J206" s="44">
        <v>267</v>
      </c>
      <c r="K206" s="44">
        <v>1</v>
      </c>
      <c r="L206" s="44">
        <v>141</v>
      </c>
      <c r="M206" s="153">
        <v>3</v>
      </c>
      <c r="N206" s="153">
        <v>2</v>
      </c>
      <c r="O206" s="153">
        <v>0</v>
      </c>
      <c r="P206" s="153">
        <v>56</v>
      </c>
      <c r="Q206" s="153">
        <v>3</v>
      </c>
      <c r="R206" s="153">
        <v>1</v>
      </c>
      <c r="S206" s="153">
        <v>0</v>
      </c>
      <c r="T206" s="153">
        <v>56</v>
      </c>
      <c r="U206" s="153">
        <v>19</v>
      </c>
      <c r="V206" s="153">
        <v>19</v>
      </c>
      <c r="W206" s="153">
        <v>23</v>
      </c>
      <c r="X206" s="153">
        <v>42</v>
      </c>
      <c r="Y206" s="153">
        <v>8</v>
      </c>
      <c r="Z206" s="153">
        <v>68</v>
      </c>
      <c r="AA206" s="153">
        <v>14</v>
      </c>
      <c r="AB206" s="153">
        <v>34</v>
      </c>
      <c r="AC206" s="153">
        <v>0</v>
      </c>
      <c r="AD206" s="153">
        <v>37</v>
      </c>
      <c r="AE206" s="153">
        <v>6</v>
      </c>
      <c r="AF206" s="153">
        <v>8</v>
      </c>
      <c r="AG206" s="153">
        <v>567</v>
      </c>
      <c r="AH206" s="153">
        <v>479</v>
      </c>
      <c r="AI206" s="153">
        <v>96</v>
      </c>
      <c r="AJ206" s="153">
        <v>76</v>
      </c>
      <c r="AK206" s="46">
        <f>SUM(B206:AJ206)</f>
        <v>4535</v>
      </c>
      <c r="AL206" s="31"/>
      <c r="AM206" s="31">
        <v>1</v>
      </c>
      <c r="AN206" s="31"/>
      <c r="AO206" s="31">
        <v>46</v>
      </c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</row>
    <row r="207" spans="1:61" x14ac:dyDescent="0.2">
      <c r="A207" s="110" t="s">
        <v>1</v>
      </c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46">
        <f>SUM(B207:AJ207)</f>
        <v>0</v>
      </c>
      <c r="AL207" s="31"/>
      <c r="AM207" s="31">
        <v>9</v>
      </c>
      <c r="AN207" s="31"/>
      <c r="AO207" s="31">
        <v>25</v>
      </c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</row>
    <row r="208" spans="1:61" x14ac:dyDescent="0.2">
      <c r="A208" s="154" t="s">
        <v>7</v>
      </c>
      <c r="B208" s="155">
        <f>SUM(B205:B207)</f>
        <v>2675</v>
      </c>
      <c r="C208" s="155">
        <f t="shared" ref="C208:AJ208" si="35">SUM(C205:C207)</f>
        <v>220</v>
      </c>
      <c r="D208" s="155">
        <f t="shared" si="35"/>
        <v>238</v>
      </c>
      <c r="E208" s="155">
        <f t="shared" si="35"/>
        <v>45</v>
      </c>
      <c r="F208" s="155">
        <f t="shared" si="35"/>
        <v>25</v>
      </c>
      <c r="G208" s="155">
        <f t="shared" si="35"/>
        <v>14</v>
      </c>
      <c r="H208" s="155">
        <f t="shared" si="35"/>
        <v>8</v>
      </c>
      <c r="I208" s="155">
        <f>SUM(I205:I207)</f>
        <v>26</v>
      </c>
      <c r="J208" s="155">
        <f>SUM(J205:J207)</f>
        <v>281</v>
      </c>
      <c r="K208" s="156">
        <f>SUM(K205:K207)</f>
        <v>1</v>
      </c>
      <c r="L208" s="155">
        <f t="shared" si="35"/>
        <v>168</v>
      </c>
      <c r="M208" s="156">
        <f t="shared" si="35"/>
        <v>20</v>
      </c>
      <c r="N208" s="156">
        <f t="shared" si="35"/>
        <v>3</v>
      </c>
      <c r="O208" s="156">
        <f t="shared" si="35"/>
        <v>0</v>
      </c>
      <c r="P208" s="156">
        <f t="shared" si="35"/>
        <v>64</v>
      </c>
      <c r="Q208" s="156">
        <f t="shared" si="35"/>
        <v>3</v>
      </c>
      <c r="R208" s="156">
        <f t="shared" si="35"/>
        <v>1</v>
      </c>
      <c r="S208" s="156">
        <f t="shared" si="35"/>
        <v>2</v>
      </c>
      <c r="T208" s="156">
        <f t="shared" si="35"/>
        <v>62</v>
      </c>
      <c r="U208" s="156">
        <f t="shared" si="35"/>
        <v>23</v>
      </c>
      <c r="V208" s="156">
        <f t="shared" si="35"/>
        <v>19</v>
      </c>
      <c r="W208" s="156">
        <f t="shared" si="35"/>
        <v>27</v>
      </c>
      <c r="X208" s="156">
        <f t="shared" si="35"/>
        <v>45</v>
      </c>
      <c r="Y208" s="156">
        <f t="shared" si="35"/>
        <v>11</v>
      </c>
      <c r="Z208" s="156">
        <f t="shared" si="35"/>
        <v>74</v>
      </c>
      <c r="AA208" s="156">
        <f t="shared" si="35"/>
        <v>19</v>
      </c>
      <c r="AB208" s="156">
        <f t="shared" si="35"/>
        <v>90</v>
      </c>
      <c r="AC208" s="156">
        <f t="shared" si="35"/>
        <v>0</v>
      </c>
      <c r="AD208" s="156">
        <f t="shared" si="35"/>
        <v>60</v>
      </c>
      <c r="AE208" s="156">
        <f t="shared" si="35"/>
        <v>6</v>
      </c>
      <c r="AF208" s="156">
        <f t="shared" si="35"/>
        <v>8</v>
      </c>
      <c r="AG208" s="156">
        <f t="shared" si="35"/>
        <v>577</v>
      </c>
      <c r="AH208" s="156">
        <f t="shared" si="35"/>
        <v>483</v>
      </c>
      <c r="AI208" s="156">
        <f t="shared" si="35"/>
        <v>150</v>
      </c>
      <c r="AJ208" s="156">
        <f t="shared" si="35"/>
        <v>88</v>
      </c>
      <c r="AK208" s="157">
        <f>SUM(AK205:AK207)</f>
        <v>5536</v>
      </c>
      <c r="AL208" s="159"/>
      <c r="AM208" s="159">
        <v>21</v>
      </c>
      <c r="AN208" s="159"/>
      <c r="AO208" s="159">
        <v>5</v>
      </c>
      <c r="AP208" s="159"/>
      <c r="AQ208" s="159"/>
      <c r="AR208" s="159"/>
      <c r="AS208" s="159"/>
      <c r="AT208" s="159"/>
      <c r="AU208" s="159"/>
      <c r="AV208" s="159"/>
      <c r="AW208" s="159"/>
      <c r="AX208" s="159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</row>
    <row r="209" spans="1:61" x14ac:dyDescent="0.2">
      <c r="A209" s="120" t="s">
        <v>69</v>
      </c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46"/>
      <c r="AL209" s="31"/>
      <c r="AM209" s="31">
        <v>18</v>
      </c>
      <c r="AN209" s="31"/>
      <c r="AO209" s="31">
        <v>5</v>
      </c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</row>
    <row r="210" spans="1:61" x14ac:dyDescent="0.2">
      <c r="A210" s="110" t="s">
        <v>92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46">
        <f>SUM(B210:AJ210)</f>
        <v>0</v>
      </c>
      <c r="AL210" s="31"/>
      <c r="AM210" s="31">
        <v>7</v>
      </c>
      <c r="AN210" s="31"/>
      <c r="AO210" s="31">
        <v>11</v>
      </c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</row>
    <row r="211" spans="1:61" x14ac:dyDescent="0.2">
      <c r="A211" s="110" t="s">
        <v>93</v>
      </c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46">
        <f>SUM(B211:AJ211)</f>
        <v>0</v>
      </c>
      <c r="AL211" s="31"/>
      <c r="AM211" s="31">
        <v>13</v>
      </c>
      <c r="AN211" s="31"/>
      <c r="AO211" s="31">
        <v>1</v>
      </c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</row>
    <row r="212" spans="1:61" x14ac:dyDescent="0.2">
      <c r="A212" s="110" t="s">
        <v>1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46">
        <f>SUM(B212:AJ212)</f>
        <v>0</v>
      </c>
      <c r="AL212" s="31"/>
      <c r="AM212" s="31">
        <v>37</v>
      </c>
      <c r="AN212" s="31"/>
      <c r="AO212" s="31">
        <v>407</v>
      </c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</row>
    <row r="213" spans="1:61" ht="15.75" thickBot="1" x14ac:dyDescent="0.25">
      <c r="A213" s="154" t="s">
        <v>7</v>
      </c>
      <c r="B213" s="155">
        <f>SUM(B210:B212)</f>
        <v>0</v>
      </c>
      <c r="C213" s="155">
        <f t="shared" ref="C213:H213" si="36">SUM(C210:C212)</f>
        <v>0</v>
      </c>
      <c r="D213" s="155">
        <f t="shared" si="36"/>
        <v>0</v>
      </c>
      <c r="E213" s="155">
        <f t="shared" si="36"/>
        <v>0</v>
      </c>
      <c r="F213" s="155">
        <f t="shared" si="36"/>
        <v>0</v>
      </c>
      <c r="G213" s="155">
        <f t="shared" si="36"/>
        <v>0</v>
      </c>
      <c r="H213" s="155">
        <f t="shared" si="36"/>
        <v>0</v>
      </c>
      <c r="I213" s="156">
        <f>SUM(I210:I212)</f>
        <v>0</v>
      </c>
      <c r="J213" s="156">
        <f>SUM(J210:J212)</f>
        <v>0</v>
      </c>
      <c r="K213" s="156">
        <f>SUM(K210:K212)</f>
        <v>0</v>
      </c>
      <c r="L213" s="156">
        <f>SUM(L210:L212)</f>
        <v>0</v>
      </c>
      <c r="M213" s="156">
        <f t="shared" ref="M213:AK213" si="37">M210+M211+M212</f>
        <v>0</v>
      </c>
      <c r="N213" s="156">
        <f t="shared" si="37"/>
        <v>0</v>
      </c>
      <c r="O213" s="156">
        <f t="shared" si="37"/>
        <v>0</v>
      </c>
      <c r="P213" s="156">
        <f t="shared" si="37"/>
        <v>0</v>
      </c>
      <c r="Q213" s="156">
        <f t="shared" si="37"/>
        <v>0</v>
      </c>
      <c r="R213" s="156">
        <f t="shared" si="37"/>
        <v>0</v>
      </c>
      <c r="S213" s="156">
        <f t="shared" si="37"/>
        <v>0</v>
      </c>
      <c r="T213" s="156">
        <f t="shared" si="37"/>
        <v>0</v>
      </c>
      <c r="U213" s="156">
        <f t="shared" si="37"/>
        <v>0</v>
      </c>
      <c r="V213" s="156">
        <f t="shared" si="37"/>
        <v>0</v>
      </c>
      <c r="W213" s="156">
        <f t="shared" si="37"/>
        <v>0</v>
      </c>
      <c r="X213" s="156">
        <f t="shared" si="37"/>
        <v>0</v>
      </c>
      <c r="Y213" s="156">
        <f t="shared" si="37"/>
        <v>0</v>
      </c>
      <c r="Z213" s="156">
        <f t="shared" si="37"/>
        <v>0</v>
      </c>
      <c r="AA213" s="156">
        <f t="shared" si="37"/>
        <v>0</v>
      </c>
      <c r="AB213" s="156">
        <f t="shared" si="37"/>
        <v>0</v>
      </c>
      <c r="AC213" s="156">
        <f t="shared" si="37"/>
        <v>0</v>
      </c>
      <c r="AD213" s="156">
        <f t="shared" si="37"/>
        <v>0</v>
      </c>
      <c r="AE213" s="156">
        <f t="shared" si="37"/>
        <v>0</v>
      </c>
      <c r="AF213" s="156">
        <f t="shared" si="37"/>
        <v>0</v>
      </c>
      <c r="AG213" s="156">
        <f t="shared" si="37"/>
        <v>0</v>
      </c>
      <c r="AH213" s="156">
        <f t="shared" si="37"/>
        <v>0</v>
      </c>
      <c r="AI213" s="156">
        <f t="shared" si="37"/>
        <v>0</v>
      </c>
      <c r="AJ213" s="156">
        <f t="shared" si="37"/>
        <v>0</v>
      </c>
      <c r="AK213" s="157">
        <f t="shared" si="37"/>
        <v>0</v>
      </c>
      <c r="AL213" s="31"/>
      <c r="AM213" s="31">
        <v>13</v>
      </c>
      <c r="AN213" s="31"/>
      <c r="AO213" s="31">
        <v>330</v>
      </c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</row>
    <row r="214" spans="1:61" x14ac:dyDescent="0.2">
      <c r="A214" s="120" t="s">
        <v>70</v>
      </c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151"/>
      <c r="AE214" s="151"/>
      <c r="AF214" s="151"/>
      <c r="AG214" s="151"/>
      <c r="AH214" s="151"/>
      <c r="AI214" s="151"/>
      <c r="AJ214" s="151"/>
      <c r="AK214" s="46"/>
      <c r="AL214" s="31"/>
      <c r="AM214" s="31">
        <v>2</v>
      </c>
      <c r="AN214" s="31"/>
      <c r="AO214" s="31">
        <v>196</v>
      </c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</row>
    <row r="215" spans="1:61" x14ac:dyDescent="0.2">
      <c r="A215" s="110" t="s">
        <v>92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46">
        <f>SUM(B215:AJ215)</f>
        <v>0</v>
      </c>
      <c r="AL215" s="31"/>
      <c r="AM215" s="31">
        <v>4</v>
      </c>
      <c r="AN215" s="31"/>
      <c r="AO215" s="31">
        <v>52</v>
      </c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</row>
    <row r="216" spans="1:61" x14ac:dyDescent="0.2">
      <c r="A216" s="110" t="s">
        <v>93</v>
      </c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  <c r="AK216" s="46">
        <f>SUM(B216:AJ216)</f>
        <v>0</v>
      </c>
      <c r="AL216" s="31"/>
      <c r="AM216" s="31">
        <v>7</v>
      </c>
      <c r="AN216" s="31"/>
      <c r="AO216" s="31">
        <v>380</v>
      </c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</row>
    <row r="217" spans="1:61" x14ac:dyDescent="0.2">
      <c r="A217" s="110" t="s">
        <v>1</v>
      </c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153"/>
      <c r="Q217" s="44"/>
      <c r="R217" s="44"/>
      <c r="S217" s="44"/>
      <c r="T217" s="44"/>
      <c r="U217" s="44"/>
      <c r="V217" s="153"/>
      <c r="W217" s="44"/>
      <c r="X217" s="44"/>
      <c r="Y217" s="153"/>
      <c r="Z217" s="153"/>
      <c r="AA217" s="153"/>
      <c r="AB217" s="44"/>
      <c r="AC217" s="44"/>
      <c r="AD217" s="44"/>
      <c r="AE217" s="44"/>
      <c r="AF217" s="153"/>
      <c r="AG217" s="153"/>
      <c r="AH217" s="153"/>
      <c r="AI217" s="153"/>
      <c r="AJ217" s="153"/>
      <c r="AK217" s="46">
        <f>SUM(B217:AJ217)</f>
        <v>0</v>
      </c>
      <c r="AL217" s="31"/>
      <c r="AM217" s="31">
        <v>4</v>
      </c>
      <c r="AN217" s="31"/>
      <c r="AO217" s="31">
        <v>563</v>
      </c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</row>
    <row r="218" spans="1:61" x14ac:dyDescent="0.2">
      <c r="A218" s="154" t="s">
        <v>7</v>
      </c>
      <c r="B218" s="155">
        <f t="shared" ref="B218:K218" si="38">B215+B216+B217</f>
        <v>0</v>
      </c>
      <c r="C218" s="155">
        <f t="shared" si="38"/>
        <v>0</v>
      </c>
      <c r="D218" s="155">
        <f t="shared" si="38"/>
        <v>0</v>
      </c>
      <c r="E218" s="155">
        <f t="shared" si="38"/>
        <v>0</v>
      </c>
      <c r="F218" s="155">
        <f t="shared" si="38"/>
        <v>0</v>
      </c>
      <c r="G218" s="155">
        <f t="shared" si="38"/>
        <v>0</v>
      </c>
      <c r="H218" s="155">
        <f t="shared" si="38"/>
        <v>0</v>
      </c>
      <c r="I218" s="156">
        <f t="shared" si="38"/>
        <v>0</v>
      </c>
      <c r="J218" s="156">
        <f t="shared" si="38"/>
        <v>0</v>
      </c>
      <c r="K218" s="156">
        <f t="shared" si="38"/>
        <v>0</v>
      </c>
      <c r="L218" s="155">
        <f t="shared" ref="L218:AJ218" si="39">L215+L216+L217</f>
        <v>0</v>
      </c>
      <c r="M218" s="156">
        <f t="shared" si="39"/>
        <v>0</v>
      </c>
      <c r="N218" s="156">
        <f t="shared" si="39"/>
        <v>0</v>
      </c>
      <c r="O218" s="156">
        <f t="shared" si="39"/>
        <v>0</v>
      </c>
      <c r="P218" s="156">
        <f t="shared" si="39"/>
        <v>0</v>
      </c>
      <c r="Q218" s="156">
        <f t="shared" si="39"/>
        <v>0</v>
      </c>
      <c r="R218" s="156">
        <f t="shared" si="39"/>
        <v>0</v>
      </c>
      <c r="S218" s="156">
        <f t="shared" si="39"/>
        <v>0</v>
      </c>
      <c r="T218" s="156">
        <f t="shared" si="39"/>
        <v>0</v>
      </c>
      <c r="U218" s="156">
        <f t="shared" si="39"/>
        <v>0</v>
      </c>
      <c r="V218" s="156">
        <f t="shared" si="39"/>
        <v>0</v>
      </c>
      <c r="W218" s="156">
        <f t="shared" si="39"/>
        <v>0</v>
      </c>
      <c r="X218" s="156">
        <f t="shared" si="39"/>
        <v>0</v>
      </c>
      <c r="Y218" s="156">
        <f t="shared" si="39"/>
        <v>0</v>
      </c>
      <c r="Z218" s="156">
        <f t="shared" si="39"/>
        <v>0</v>
      </c>
      <c r="AA218" s="156">
        <f t="shared" si="39"/>
        <v>0</v>
      </c>
      <c r="AB218" s="156">
        <f t="shared" si="39"/>
        <v>0</v>
      </c>
      <c r="AC218" s="156">
        <f t="shared" si="39"/>
        <v>0</v>
      </c>
      <c r="AD218" s="156">
        <f t="shared" si="39"/>
        <v>0</v>
      </c>
      <c r="AE218" s="156">
        <f t="shared" si="39"/>
        <v>0</v>
      </c>
      <c r="AF218" s="156">
        <f t="shared" si="39"/>
        <v>0</v>
      </c>
      <c r="AG218" s="156">
        <f t="shared" si="39"/>
        <v>0</v>
      </c>
      <c r="AH218" s="156">
        <f t="shared" si="39"/>
        <v>0</v>
      </c>
      <c r="AI218" s="156">
        <f t="shared" si="39"/>
        <v>0</v>
      </c>
      <c r="AJ218" s="156">
        <f t="shared" si="39"/>
        <v>0</v>
      </c>
      <c r="AK218" s="157">
        <f>AK215+AK216+AK217</f>
        <v>0</v>
      </c>
      <c r="AL218" s="31"/>
      <c r="AM218" s="31">
        <v>8</v>
      </c>
      <c r="AN218" s="31"/>
      <c r="AO218" s="31">
        <v>11</v>
      </c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</row>
    <row r="219" spans="1:61" x14ac:dyDescent="0.2">
      <c r="A219" s="120" t="s">
        <v>71</v>
      </c>
      <c r="B219" s="45" t="s">
        <v>138</v>
      </c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46"/>
      <c r="AL219" s="31"/>
      <c r="AM219" s="31">
        <v>46</v>
      </c>
      <c r="AN219" s="31"/>
      <c r="AO219" s="31">
        <v>43</v>
      </c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</row>
    <row r="220" spans="1:61" x14ac:dyDescent="0.2">
      <c r="A220" s="110" t="s">
        <v>92</v>
      </c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46">
        <f>SUM(B220:AJ220)</f>
        <v>0</v>
      </c>
      <c r="AL220" s="31"/>
      <c r="AM220" s="31">
        <v>28</v>
      </c>
      <c r="AN220" s="31"/>
      <c r="AO220" s="31">
        <v>72</v>
      </c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</row>
    <row r="221" spans="1:61" x14ac:dyDescent="0.2">
      <c r="A221" s="110" t="s">
        <v>93</v>
      </c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46">
        <f>SUM(B221:AJ221)</f>
        <v>0</v>
      </c>
      <c r="AL221" s="31"/>
      <c r="AM221" s="31">
        <v>93</v>
      </c>
      <c r="AN221" s="31"/>
      <c r="AO221" s="31">
        <v>15</v>
      </c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</row>
    <row r="222" spans="1:61" x14ac:dyDescent="0.2">
      <c r="A222" s="110" t="s">
        <v>1</v>
      </c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46">
        <f>SUM(B222:AJ222)</f>
        <v>0</v>
      </c>
      <c r="AL222" s="31"/>
      <c r="AM222" s="31">
        <v>7</v>
      </c>
      <c r="AN222" s="31"/>
      <c r="AO222" s="31">
        <v>105</v>
      </c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</row>
    <row r="223" spans="1:61" x14ac:dyDescent="0.2">
      <c r="A223" s="154" t="s">
        <v>7</v>
      </c>
      <c r="B223" s="155">
        <f t="shared" ref="B223:AK223" si="40">B220+B221+B222</f>
        <v>0</v>
      </c>
      <c r="C223" s="155">
        <f t="shared" si="40"/>
        <v>0</v>
      </c>
      <c r="D223" s="155">
        <f t="shared" si="40"/>
        <v>0</v>
      </c>
      <c r="E223" s="155">
        <f t="shared" si="40"/>
        <v>0</v>
      </c>
      <c r="F223" s="155">
        <f t="shared" si="40"/>
        <v>0</v>
      </c>
      <c r="G223" s="155">
        <f t="shared" si="40"/>
        <v>0</v>
      </c>
      <c r="H223" s="155">
        <f t="shared" si="40"/>
        <v>0</v>
      </c>
      <c r="I223" s="155">
        <f t="shared" si="40"/>
        <v>0</v>
      </c>
      <c r="J223" s="155">
        <f t="shared" si="40"/>
        <v>0</v>
      </c>
      <c r="K223" s="156">
        <f t="shared" si="40"/>
        <v>0</v>
      </c>
      <c r="L223" s="155">
        <f t="shared" si="40"/>
        <v>0</v>
      </c>
      <c r="M223" s="156">
        <f t="shared" si="40"/>
        <v>0</v>
      </c>
      <c r="N223" s="156">
        <f t="shared" si="40"/>
        <v>0</v>
      </c>
      <c r="O223" s="156">
        <f t="shared" si="40"/>
        <v>0</v>
      </c>
      <c r="P223" s="156">
        <f t="shared" si="40"/>
        <v>0</v>
      </c>
      <c r="Q223" s="156">
        <f t="shared" si="40"/>
        <v>0</v>
      </c>
      <c r="R223" s="156">
        <f t="shared" si="40"/>
        <v>0</v>
      </c>
      <c r="S223" s="156">
        <f t="shared" si="40"/>
        <v>0</v>
      </c>
      <c r="T223" s="156">
        <f t="shared" si="40"/>
        <v>0</v>
      </c>
      <c r="U223" s="156">
        <f t="shared" si="40"/>
        <v>0</v>
      </c>
      <c r="V223" s="156">
        <f t="shared" si="40"/>
        <v>0</v>
      </c>
      <c r="W223" s="156">
        <f t="shared" si="40"/>
        <v>0</v>
      </c>
      <c r="X223" s="156">
        <f t="shared" si="40"/>
        <v>0</v>
      </c>
      <c r="Y223" s="156">
        <f t="shared" si="40"/>
        <v>0</v>
      </c>
      <c r="Z223" s="156">
        <f t="shared" si="40"/>
        <v>0</v>
      </c>
      <c r="AA223" s="156">
        <f t="shared" si="40"/>
        <v>0</v>
      </c>
      <c r="AB223" s="156">
        <f t="shared" si="40"/>
        <v>0</v>
      </c>
      <c r="AC223" s="156">
        <f t="shared" si="40"/>
        <v>0</v>
      </c>
      <c r="AD223" s="156">
        <f t="shared" si="40"/>
        <v>0</v>
      </c>
      <c r="AE223" s="156">
        <f t="shared" si="40"/>
        <v>0</v>
      </c>
      <c r="AF223" s="156">
        <f t="shared" si="40"/>
        <v>0</v>
      </c>
      <c r="AG223" s="156">
        <f t="shared" si="40"/>
        <v>0</v>
      </c>
      <c r="AH223" s="156">
        <f t="shared" si="40"/>
        <v>0</v>
      </c>
      <c r="AI223" s="156">
        <f t="shared" si="40"/>
        <v>0</v>
      </c>
      <c r="AJ223" s="156">
        <f t="shared" si="40"/>
        <v>0</v>
      </c>
      <c r="AK223" s="157">
        <f t="shared" si="40"/>
        <v>0</v>
      </c>
      <c r="AL223" s="31"/>
      <c r="AM223" s="31">
        <v>1</v>
      </c>
      <c r="AN223" s="31"/>
      <c r="AO223" s="31">
        <v>95</v>
      </c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</row>
    <row r="224" spans="1:61" x14ac:dyDescent="0.2">
      <c r="A224" s="120" t="s">
        <v>72</v>
      </c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46"/>
      <c r="AL224" s="31"/>
      <c r="AM224" s="31">
        <v>10</v>
      </c>
      <c r="AN224" s="31"/>
      <c r="AO224" s="31">
        <v>3</v>
      </c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</row>
    <row r="225" spans="1:61" x14ac:dyDescent="0.2">
      <c r="A225" s="110" t="s">
        <v>92</v>
      </c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46">
        <f>SUM(B225:AJ225)</f>
        <v>0</v>
      </c>
      <c r="AL225" s="31"/>
      <c r="AM225" s="31">
        <v>2</v>
      </c>
      <c r="AN225" s="31"/>
      <c r="AO225" s="31">
        <v>159</v>
      </c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</row>
    <row r="226" spans="1:61" x14ac:dyDescent="0.2">
      <c r="A226" s="110" t="s">
        <v>93</v>
      </c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46">
        <f>SUM(B226:AJ226)</f>
        <v>0</v>
      </c>
      <c r="AL226" s="31"/>
      <c r="AM226" s="31">
        <v>33</v>
      </c>
      <c r="AN226" s="31"/>
      <c r="AO226" s="31">
        <v>45</v>
      </c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</row>
    <row r="227" spans="1:61" x14ac:dyDescent="0.2">
      <c r="A227" s="110" t="s">
        <v>1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6">
        <f>SUM(B227:AJ227)</f>
        <v>0</v>
      </c>
      <c r="AL227" s="31"/>
      <c r="AM227" s="31">
        <v>783</v>
      </c>
      <c r="AN227" s="31"/>
      <c r="AO227" s="31">
        <v>87</v>
      </c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</row>
    <row r="228" spans="1:61" x14ac:dyDescent="0.2">
      <c r="A228" s="154" t="s">
        <v>7</v>
      </c>
      <c r="B228" s="155">
        <f t="shared" ref="B228:L228" si="41">SUM(B225:B227)</f>
        <v>0</v>
      </c>
      <c r="C228" s="155">
        <f t="shared" si="41"/>
        <v>0</v>
      </c>
      <c r="D228" s="155">
        <f t="shared" si="41"/>
        <v>0</v>
      </c>
      <c r="E228" s="155">
        <f t="shared" si="41"/>
        <v>0</v>
      </c>
      <c r="F228" s="155">
        <f t="shared" si="41"/>
        <v>0</v>
      </c>
      <c r="G228" s="155">
        <f t="shared" si="41"/>
        <v>0</v>
      </c>
      <c r="H228" s="155">
        <f t="shared" si="41"/>
        <v>0</v>
      </c>
      <c r="I228" s="156">
        <f t="shared" si="41"/>
        <v>0</v>
      </c>
      <c r="J228" s="156">
        <f t="shared" si="41"/>
        <v>0</v>
      </c>
      <c r="K228" s="156">
        <f t="shared" si="41"/>
        <v>0</v>
      </c>
      <c r="L228" s="156">
        <f t="shared" si="41"/>
        <v>0</v>
      </c>
      <c r="M228" s="156">
        <f t="shared" ref="M228:AJ228" si="42">M225+M226+M227</f>
        <v>0</v>
      </c>
      <c r="N228" s="156">
        <f t="shared" si="42"/>
        <v>0</v>
      </c>
      <c r="O228" s="156">
        <f t="shared" si="42"/>
        <v>0</v>
      </c>
      <c r="P228" s="156">
        <f t="shared" si="42"/>
        <v>0</v>
      </c>
      <c r="Q228" s="156">
        <f t="shared" si="42"/>
        <v>0</v>
      </c>
      <c r="R228" s="156">
        <f t="shared" si="42"/>
        <v>0</v>
      </c>
      <c r="S228" s="156">
        <f t="shared" si="42"/>
        <v>0</v>
      </c>
      <c r="T228" s="156">
        <f t="shared" si="42"/>
        <v>0</v>
      </c>
      <c r="U228" s="156">
        <f t="shared" si="42"/>
        <v>0</v>
      </c>
      <c r="V228" s="156">
        <f t="shared" si="42"/>
        <v>0</v>
      </c>
      <c r="W228" s="156">
        <f t="shared" si="42"/>
        <v>0</v>
      </c>
      <c r="X228" s="156">
        <f t="shared" si="42"/>
        <v>0</v>
      </c>
      <c r="Y228" s="156">
        <f t="shared" si="42"/>
        <v>0</v>
      </c>
      <c r="Z228" s="156">
        <f t="shared" si="42"/>
        <v>0</v>
      </c>
      <c r="AA228" s="156">
        <f t="shared" si="42"/>
        <v>0</v>
      </c>
      <c r="AB228" s="156">
        <f t="shared" si="42"/>
        <v>0</v>
      </c>
      <c r="AC228" s="156">
        <f t="shared" si="42"/>
        <v>0</v>
      </c>
      <c r="AD228" s="156">
        <f t="shared" si="42"/>
        <v>0</v>
      </c>
      <c r="AE228" s="156">
        <f t="shared" si="42"/>
        <v>0</v>
      </c>
      <c r="AF228" s="156">
        <f t="shared" si="42"/>
        <v>0</v>
      </c>
      <c r="AG228" s="156">
        <f t="shared" si="42"/>
        <v>0</v>
      </c>
      <c r="AH228" s="156">
        <f t="shared" si="42"/>
        <v>0</v>
      </c>
      <c r="AI228" s="156">
        <f t="shared" si="42"/>
        <v>0</v>
      </c>
      <c r="AJ228" s="156">
        <f t="shared" si="42"/>
        <v>0</v>
      </c>
      <c r="AK228" s="157">
        <f>AK226+AK225+AK227</f>
        <v>0</v>
      </c>
      <c r="AL228" s="31"/>
      <c r="AM228" s="31">
        <f>SUM(AM204:AM227)</f>
        <v>1158</v>
      </c>
      <c r="AN228" s="31">
        <f>1158-1149</f>
        <v>9</v>
      </c>
      <c r="AO228" s="31">
        <v>70</v>
      </c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</row>
    <row r="229" spans="1:61" x14ac:dyDescent="0.2">
      <c r="A229" s="120" t="s">
        <v>100</v>
      </c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46"/>
      <c r="AL229" s="31"/>
      <c r="AM229" s="31"/>
      <c r="AN229" s="31"/>
      <c r="AO229" s="31">
        <v>864</v>
      </c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</row>
    <row r="230" spans="1:61" x14ac:dyDescent="0.2">
      <c r="A230" s="110" t="s">
        <v>92</v>
      </c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46">
        <f>SUM(B230:AJ230)</f>
        <v>0</v>
      </c>
      <c r="AL230" s="31"/>
      <c r="AM230" s="31"/>
      <c r="AN230" s="31"/>
      <c r="AO230" s="31">
        <v>639</v>
      </c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</row>
    <row r="231" spans="1:61" x14ac:dyDescent="0.2">
      <c r="A231" s="110" t="s">
        <v>93</v>
      </c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153"/>
      <c r="N231" s="44"/>
      <c r="O231" s="44"/>
      <c r="P231" s="153"/>
      <c r="Q231" s="44"/>
      <c r="R231" s="44"/>
      <c r="S231" s="44"/>
      <c r="T231" s="153"/>
      <c r="U231" s="44"/>
      <c r="V231" s="153"/>
      <c r="W231" s="153"/>
      <c r="X231" s="153"/>
      <c r="Y231" s="44"/>
      <c r="Z231" s="153"/>
      <c r="AA231" s="153"/>
      <c r="AB231" s="153"/>
      <c r="AC231" s="44"/>
      <c r="AD231" s="153"/>
      <c r="AE231" s="153"/>
      <c r="AF231" s="153"/>
      <c r="AG231" s="153"/>
      <c r="AH231" s="153"/>
      <c r="AI231" s="153"/>
      <c r="AJ231" s="153"/>
      <c r="AK231" s="46">
        <f>SUM(B231:AJ231)</f>
        <v>0</v>
      </c>
      <c r="AL231" s="31"/>
      <c r="AM231" s="31"/>
      <c r="AN231" s="31"/>
      <c r="AO231" s="31">
        <v>40</v>
      </c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</row>
    <row r="232" spans="1:61" x14ac:dyDescent="0.2">
      <c r="A232" s="110" t="s">
        <v>1</v>
      </c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46">
        <f>SUM(B232:AJ232)</f>
        <v>0</v>
      </c>
      <c r="AL232" s="31"/>
      <c r="AM232" s="31"/>
      <c r="AN232" s="31"/>
      <c r="AO232" s="31">
        <v>34</v>
      </c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</row>
    <row r="233" spans="1:61" x14ac:dyDescent="0.2">
      <c r="A233" s="154" t="s">
        <v>7</v>
      </c>
      <c r="B233" s="155">
        <f t="shared" ref="B233:K233" si="43">SUM(B230:B232)</f>
        <v>0</v>
      </c>
      <c r="C233" s="155">
        <f t="shared" si="43"/>
        <v>0</v>
      </c>
      <c r="D233" s="155">
        <f t="shared" si="43"/>
        <v>0</v>
      </c>
      <c r="E233" s="155">
        <f t="shared" si="43"/>
        <v>0</v>
      </c>
      <c r="F233" s="155">
        <f t="shared" si="43"/>
        <v>0</v>
      </c>
      <c r="G233" s="155">
        <f t="shared" si="43"/>
        <v>0</v>
      </c>
      <c r="H233" s="155">
        <f t="shared" si="43"/>
        <v>0</v>
      </c>
      <c r="I233" s="155">
        <f t="shared" si="43"/>
        <v>0</v>
      </c>
      <c r="J233" s="155">
        <f t="shared" si="43"/>
        <v>0</v>
      </c>
      <c r="K233" s="156">
        <f t="shared" si="43"/>
        <v>0</v>
      </c>
      <c r="L233" s="155">
        <f t="shared" ref="L233:AJ233" si="44">SUM(L230:L232)</f>
        <v>0</v>
      </c>
      <c r="M233" s="156">
        <f t="shared" si="44"/>
        <v>0</v>
      </c>
      <c r="N233" s="156">
        <f t="shared" si="44"/>
        <v>0</v>
      </c>
      <c r="O233" s="156">
        <f t="shared" si="44"/>
        <v>0</v>
      </c>
      <c r="P233" s="156">
        <f t="shared" si="44"/>
        <v>0</v>
      </c>
      <c r="Q233" s="156">
        <f t="shared" si="44"/>
        <v>0</v>
      </c>
      <c r="R233" s="156">
        <f t="shared" si="44"/>
        <v>0</v>
      </c>
      <c r="S233" s="156">
        <f t="shared" si="44"/>
        <v>0</v>
      </c>
      <c r="T233" s="156">
        <f t="shared" si="44"/>
        <v>0</v>
      </c>
      <c r="U233" s="156">
        <f t="shared" si="44"/>
        <v>0</v>
      </c>
      <c r="V233" s="156">
        <f t="shared" si="44"/>
        <v>0</v>
      </c>
      <c r="W233" s="156">
        <f t="shared" si="44"/>
        <v>0</v>
      </c>
      <c r="X233" s="156">
        <f t="shared" si="44"/>
        <v>0</v>
      </c>
      <c r="Y233" s="156">
        <f t="shared" si="44"/>
        <v>0</v>
      </c>
      <c r="Z233" s="156">
        <f t="shared" si="44"/>
        <v>0</v>
      </c>
      <c r="AA233" s="156">
        <f t="shared" si="44"/>
        <v>0</v>
      </c>
      <c r="AB233" s="156">
        <f t="shared" si="44"/>
        <v>0</v>
      </c>
      <c r="AC233" s="156">
        <f t="shared" si="44"/>
        <v>0</v>
      </c>
      <c r="AD233" s="156">
        <f t="shared" si="44"/>
        <v>0</v>
      </c>
      <c r="AE233" s="156">
        <f t="shared" si="44"/>
        <v>0</v>
      </c>
      <c r="AF233" s="156">
        <f t="shared" si="44"/>
        <v>0</v>
      </c>
      <c r="AG233" s="156">
        <f t="shared" si="44"/>
        <v>0</v>
      </c>
      <c r="AH233" s="156">
        <f t="shared" si="44"/>
        <v>0</v>
      </c>
      <c r="AI233" s="156">
        <f t="shared" si="44"/>
        <v>0</v>
      </c>
      <c r="AJ233" s="156">
        <f t="shared" si="44"/>
        <v>0</v>
      </c>
      <c r="AK233" s="157">
        <f>SUM(AK230:AK232)</f>
        <v>0</v>
      </c>
      <c r="AL233" s="31"/>
      <c r="AM233" s="31"/>
      <c r="AN233" s="31"/>
      <c r="AO233" s="31">
        <v>98</v>
      </c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</row>
    <row r="234" spans="1:61" x14ac:dyDescent="0.2">
      <c r="A234" s="120" t="s">
        <v>74</v>
      </c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46"/>
      <c r="AL234" s="31"/>
      <c r="AM234" s="31"/>
      <c r="AN234" s="31"/>
      <c r="AO234" s="31">
        <v>462</v>
      </c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</row>
    <row r="235" spans="1:61" x14ac:dyDescent="0.2">
      <c r="A235" s="110" t="s">
        <v>92</v>
      </c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46">
        <f>SUM(B235:AJ235)</f>
        <v>0</v>
      </c>
      <c r="AL235" s="31"/>
      <c r="AM235" s="31"/>
      <c r="AN235" s="31"/>
      <c r="AO235" s="31">
        <v>8544</v>
      </c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</row>
    <row r="236" spans="1:61" x14ac:dyDescent="0.2">
      <c r="A236" s="110" t="s">
        <v>93</v>
      </c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6">
        <f>SUM(B236:AJ236)</f>
        <v>0</v>
      </c>
      <c r="AL236" s="31"/>
      <c r="AM236" s="31"/>
      <c r="AN236" s="31"/>
      <c r="AO236" s="31">
        <f>SUM(AO204:AO235)</f>
        <v>13478</v>
      </c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</row>
    <row r="237" spans="1:61" x14ac:dyDescent="0.2">
      <c r="A237" s="110" t="s">
        <v>1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46">
        <f>SUM(B237:AJ237)</f>
        <v>0</v>
      </c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</row>
    <row r="238" spans="1:61" x14ac:dyDescent="0.2">
      <c r="A238" s="154" t="s">
        <v>7</v>
      </c>
      <c r="B238" s="155">
        <f>SUM(B235:B237)</f>
        <v>0</v>
      </c>
      <c r="C238" s="155">
        <f t="shared" ref="C238:H238" si="45">SUM(C235:C237)</f>
        <v>0</v>
      </c>
      <c r="D238" s="155">
        <f t="shared" si="45"/>
        <v>0</v>
      </c>
      <c r="E238" s="155">
        <f t="shared" si="45"/>
        <v>0</v>
      </c>
      <c r="F238" s="155">
        <f t="shared" si="45"/>
        <v>0</v>
      </c>
      <c r="G238" s="155">
        <f t="shared" si="45"/>
        <v>0</v>
      </c>
      <c r="H238" s="155">
        <f t="shared" si="45"/>
        <v>0</v>
      </c>
      <c r="I238" s="156">
        <f>SUM(I235:I237)</f>
        <v>0</v>
      </c>
      <c r="J238" s="156">
        <f>SUM(J235:J237)</f>
        <v>0</v>
      </c>
      <c r="K238" s="156">
        <f>SUM(K235:K237)</f>
        <v>0</v>
      </c>
      <c r="L238" s="156">
        <f>SUM(L235:L237)</f>
        <v>0</v>
      </c>
      <c r="M238" s="156">
        <f t="shared" ref="M238:AJ238" si="46">M235+M236+M237</f>
        <v>0</v>
      </c>
      <c r="N238" s="156">
        <f t="shared" si="46"/>
        <v>0</v>
      </c>
      <c r="O238" s="156">
        <f t="shared" si="46"/>
        <v>0</v>
      </c>
      <c r="P238" s="156">
        <f t="shared" si="46"/>
        <v>0</v>
      </c>
      <c r="Q238" s="156">
        <f t="shared" si="46"/>
        <v>0</v>
      </c>
      <c r="R238" s="156">
        <f t="shared" si="46"/>
        <v>0</v>
      </c>
      <c r="S238" s="156">
        <f t="shared" si="46"/>
        <v>0</v>
      </c>
      <c r="T238" s="156">
        <f t="shared" si="46"/>
        <v>0</v>
      </c>
      <c r="U238" s="156">
        <f t="shared" si="46"/>
        <v>0</v>
      </c>
      <c r="V238" s="156">
        <f t="shared" si="46"/>
        <v>0</v>
      </c>
      <c r="W238" s="156">
        <f t="shared" si="46"/>
        <v>0</v>
      </c>
      <c r="X238" s="156">
        <f t="shared" si="46"/>
        <v>0</v>
      </c>
      <c r="Y238" s="156">
        <f t="shared" si="46"/>
        <v>0</v>
      </c>
      <c r="Z238" s="156">
        <f t="shared" si="46"/>
        <v>0</v>
      </c>
      <c r="AA238" s="156">
        <f t="shared" si="46"/>
        <v>0</v>
      </c>
      <c r="AB238" s="156">
        <f t="shared" si="46"/>
        <v>0</v>
      </c>
      <c r="AC238" s="156">
        <f t="shared" si="46"/>
        <v>0</v>
      </c>
      <c r="AD238" s="156">
        <f t="shared" si="46"/>
        <v>0</v>
      </c>
      <c r="AE238" s="156">
        <f t="shared" si="46"/>
        <v>0</v>
      </c>
      <c r="AF238" s="156">
        <f t="shared" si="46"/>
        <v>0</v>
      </c>
      <c r="AG238" s="156">
        <f t="shared" si="46"/>
        <v>0</v>
      </c>
      <c r="AH238" s="156">
        <f t="shared" si="46"/>
        <v>0</v>
      </c>
      <c r="AI238" s="156">
        <f t="shared" si="46"/>
        <v>0</v>
      </c>
      <c r="AJ238" s="156">
        <f t="shared" si="46"/>
        <v>0</v>
      </c>
      <c r="AK238" s="157">
        <f>SUM(AK235:AK237)</f>
        <v>0</v>
      </c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</row>
    <row r="239" spans="1:61" x14ac:dyDescent="0.2">
      <c r="A239" s="120" t="s">
        <v>75</v>
      </c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46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</row>
    <row r="240" spans="1:61" x14ac:dyDescent="0.2">
      <c r="A240" s="110" t="s">
        <v>92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46">
        <f>SUM(B240:AJ240)</f>
        <v>0</v>
      </c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</row>
    <row r="241" spans="1:61" x14ac:dyDescent="0.2">
      <c r="A241" s="110" t="s">
        <v>93</v>
      </c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46">
        <f>+SUM(B241:AJ241)</f>
        <v>0</v>
      </c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</row>
    <row r="242" spans="1:61" x14ac:dyDescent="0.2">
      <c r="A242" s="110" t="s">
        <v>1</v>
      </c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46">
        <f>SUM(B242:AJ242)</f>
        <v>0</v>
      </c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</row>
    <row r="243" spans="1:61" x14ac:dyDescent="0.2">
      <c r="A243" s="154" t="s">
        <v>7</v>
      </c>
      <c r="B243" s="155">
        <f>SUM(B240:B242)</f>
        <v>0</v>
      </c>
      <c r="C243" s="155">
        <f t="shared" ref="C243:H243" si="47">SUM(C240:C242)</f>
        <v>0</v>
      </c>
      <c r="D243" s="155">
        <f t="shared" si="47"/>
        <v>0</v>
      </c>
      <c r="E243" s="155">
        <f t="shared" si="47"/>
        <v>0</v>
      </c>
      <c r="F243" s="155">
        <f t="shared" si="47"/>
        <v>0</v>
      </c>
      <c r="G243" s="155">
        <f t="shared" si="47"/>
        <v>0</v>
      </c>
      <c r="H243" s="155">
        <f t="shared" si="47"/>
        <v>0</v>
      </c>
      <c r="I243" s="156">
        <f>SUM(I240:I242)</f>
        <v>0</v>
      </c>
      <c r="J243" s="156">
        <f>SUM(J240:J242)</f>
        <v>0</v>
      </c>
      <c r="K243" s="156">
        <f>SUM(K240:K242)</f>
        <v>0</v>
      </c>
      <c r="L243" s="156">
        <f>SUM(L240:L242)</f>
        <v>0</v>
      </c>
      <c r="M243" s="156">
        <f t="shared" ref="M243:AJ243" si="48">M240+M241+M242</f>
        <v>0</v>
      </c>
      <c r="N243" s="156">
        <f t="shared" si="48"/>
        <v>0</v>
      </c>
      <c r="O243" s="156">
        <f t="shared" si="48"/>
        <v>0</v>
      </c>
      <c r="P243" s="156">
        <f t="shared" si="48"/>
        <v>0</v>
      </c>
      <c r="Q243" s="156">
        <f t="shared" si="48"/>
        <v>0</v>
      </c>
      <c r="R243" s="156">
        <f t="shared" si="48"/>
        <v>0</v>
      </c>
      <c r="S243" s="156">
        <f t="shared" si="48"/>
        <v>0</v>
      </c>
      <c r="T243" s="156">
        <f t="shared" si="48"/>
        <v>0</v>
      </c>
      <c r="U243" s="156">
        <f t="shared" si="48"/>
        <v>0</v>
      </c>
      <c r="V243" s="156">
        <f t="shared" si="48"/>
        <v>0</v>
      </c>
      <c r="W243" s="156">
        <f t="shared" si="48"/>
        <v>0</v>
      </c>
      <c r="X243" s="156">
        <f t="shared" si="48"/>
        <v>0</v>
      </c>
      <c r="Y243" s="156">
        <f t="shared" si="48"/>
        <v>0</v>
      </c>
      <c r="Z243" s="156">
        <f t="shared" si="48"/>
        <v>0</v>
      </c>
      <c r="AA243" s="156">
        <f t="shared" si="48"/>
        <v>0</v>
      </c>
      <c r="AB243" s="156">
        <f t="shared" si="48"/>
        <v>0</v>
      </c>
      <c r="AC243" s="156">
        <f t="shared" si="48"/>
        <v>0</v>
      </c>
      <c r="AD243" s="156">
        <f t="shared" si="48"/>
        <v>0</v>
      </c>
      <c r="AE243" s="156">
        <f t="shared" si="48"/>
        <v>0</v>
      </c>
      <c r="AF243" s="156">
        <f t="shared" si="48"/>
        <v>0</v>
      </c>
      <c r="AG243" s="156">
        <f t="shared" si="48"/>
        <v>0</v>
      </c>
      <c r="AH243" s="156">
        <f t="shared" si="48"/>
        <v>0</v>
      </c>
      <c r="AI243" s="156">
        <f t="shared" si="48"/>
        <v>0</v>
      </c>
      <c r="AJ243" s="156">
        <f t="shared" si="48"/>
        <v>0</v>
      </c>
      <c r="AK243" s="157">
        <f>SUM(AK240:AK242)</f>
        <v>0</v>
      </c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</row>
    <row r="244" spans="1:61" x14ac:dyDescent="0.2">
      <c r="A244" s="120" t="s">
        <v>76</v>
      </c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46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</row>
    <row r="245" spans="1:61" x14ac:dyDescent="0.2">
      <c r="A245" s="110" t="s">
        <v>92</v>
      </c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46">
        <f>SUM(B245:AJ245)</f>
        <v>0</v>
      </c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</row>
    <row r="246" spans="1:61" x14ac:dyDescent="0.2">
      <c r="A246" s="110" t="s">
        <v>93</v>
      </c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46">
        <f>SUM(B246:AJ246)</f>
        <v>0</v>
      </c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</row>
    <row r="247" spans="1:61" x14ac:dyDescent="0.2">
      <c r="A247" s="110" t="s">
        <v>1</v>
      </c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46">
        <f>SUM(B247:AJ247)</f>
        <v>0</v>
      </c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</row>
    <row r="248" spans="1:61" ht="15.75" thickBot="1" x14ac:dyDescent="0.25">
      <c r="A248" s="160" t="s">
        <v>7</v>
      </c>
      <c r="B248" s="155">
        <f>SUM(B245:B247)</f>
        <v>0</v>
      </c>
      <c r="C248" s="155">
        <f t="shared" ref="C248:H248" si="49">SUM(C245:C247)</f>
        <v>0</v>
      </c>
      <c r="D248" s="155">
        <f t="shared" si="49"/>
        <v>0</v>
      </c>
      <c r="E248" s="155">
        <f t="shared" si="49"/>
        <v>0</v>
      </c>
      <c r="F248" s="155">
        <f t="shared" si="49"/>
        <v>0</v>
      </c>
      <c r="G248" s="155">
        <f t="shared" si="49"/>
        <v>0</v>
      </c>
      <c r="H248" s="155">
        <f t="shared" si="49"/>
        <v>0</v>
      </c>
      <c r="I248" s="156">
        <f>SUM(I245:I247)</f>
        <v>0</v>
      </c>
      <c r="J248" s="156">
        <f>SUM(J245:J247)</f>
        <v>0</v>
      </c>
      <c r="K248" s="156">
        <f>SUM(K245:K247)</f>
        <v>0</v>
      </c>
      <c r="L248" s="156">
        <f>SUM(L245:L247)</f>
        <v>0</v>
      </c>
      <c r="M248" s="156">
        <f t="shared" ref="M248:AJ248" si="50">M245+M246+M247</f>
        <v>0</v>
      </c>
      <c r="N248" s="156">
        <f t="shared" si="50"/>
        <v>0</v>
      </c>
      <c r="O248" s="156">
        <f t="shared" si="50"/>
        <v>0</v>
      </c>
      <c r="P248" s="156">
        <f t="shared" si="50"/>
        <v>0</v>
      </c>
      <c r="Q248" s="156">
        <f t="shared" si="50"/>
        <v>0</v>
      </c>
      <c r="R248" s="156">
        <f t="shared" si="50"/>
        <v>0</v>
      </c>
      <c r="S248" s="156">
        <f t="shared" si="50"/>
        <v>0</v>
      </c>
      <c r="T248" s="156">
        <f t="shared" si="50"/>
        <v>0</v>
      </c>
      <c r="U248" s="156">
        <f t="shared" si="50"/>
        <v>0</v>
      </c>
      <c r="V248" s="156">
        <f t="shared" si="50"/>
        <v>0</v>
      </c>
      <c r="W248" s="156">
        <f t="shared" si="50"/>
        <v>0</v>
      </c>
      <c r="X248" s="156">
        <f t="shared" si="50"/>
        <v>0</v>
      </c>
      <c r="Y248" s="156">
        <f t="shared" si="50"/>
        <v>0</v>
      </c>
      <c r="Z248" s="156">
        <f t="shared" si="50"/>
        <v>0</v>
      </c>
      <c r="AA248" s="156">
        <f t="shared" si="50"/>
        <v>0</v>
      </c>
      <c r="AB248" s="156">
        <f t="shared" si="50"/>
        <v>0</v>
      </c>
      <c r="AC248" s="156">
        <f t="shared" si="50"/>
        <v>0</v>
      </c>
      <c r="AD248" s="156">
        <f t="shared" si="50"/>
        <v>0</v>
      </c>
      <c r="AE248" s="156">
        <f t="shared" si="50"/>
        <v>0</v>
      </c>
      <c r="AF248" s="156">
        <f t="shared" si="50"/>
        <v>0</v>
      </c>
      <c r="AG248" s="156">
        <f t="shared" si="50"/>
        <v>0</v>
      </c>
      <c r="AH248" s="156">
        <f t="shared" si="50"/>
        <v>0</v>
      </c>
      <c r="AI248" s="156">
        <f t="shared" si="50"/>
        <v>0</v>
      </c>
      <c r="AJ248" s="156">
        <f t="shared" si="50"/>
        <v>0</v>
      </c>
      <c r="AK248" s="161">
        <f>SUM(AK245:AK247)</f>
        <v>0</v>
      </c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</row>
    <row r="249" spans="1:61" x14ac:dyDescent="0.2">
      <c r="A249" s="162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4"/>
      <c r="S249" s="164"/>
      <c r="T249" s="164"/>
      <c r="U249" s="164"/>
      <c r="V249" s="164"/>
      <c r="AK249" s="162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</row>
    <row r="250" spans="1:61" ht="15.75" thickBot="1" x14ac:dyDescent="0.25">
      <c r="A250" s="162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162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</row>
    <row r="251" spans="1:61" ht="25.5" customHeight="1" thickBot="1" x14ac:dyDescent="0.25">
      <c r="A251" s="165" t="s">
        <v>139</v>
      </c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7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</row>
    <row r="252" spans="1:61" s="149" customFormat="1" ht="15.75" thickBot="1" x14ac:dyDescent="0.25">
      <c r="A252" s="168"/>
      <c r="B252" s="169" t="s">
        <v>2</v>
      </c>
      <c r="C252" s="169" t="s">
        <v>104</v>
      </c>
      <c r="D252" s="169" t="s">
        <v>140</v>
      </c>
      <c r="E252" s="169" t="s">
        <v>106</v>
      </c>
      <c r="F252" s="169" t="s">
        <v>107</v>
      </c>
      <c r="G252" s="169" t="s">
        <v>108</v>
      </c>
      <c r="H252" s="169" t="s">
        <v>109</v>
      </c>
      <c r="I252" s="170" t="s">
        <v>110</v>
      </c>
      <c r="J252" s="170" t="s">
        <v>111</v>
      </c>
      <c r="K252" s="170" t="s">
        <v>112</v>
      </c>
      <c r="L252" s="169" t="s">
        <v>113</v>
      </c>
      <c r="M252" s="169" t="s">
        <v>114</v>
      </c>
      <c r="N252" s="169" t="s">
        <v>115</v>
      </c>
      <c r="O252" s="169" t="s">
        <v>116</v>
      </c>
      <c r="P252" s="169" t="s">
        <v>117</v>
      </c>
      <c r="Q252" s="169" t="s">
        <v>118</v>
      </c>
      <c r="R252" s="169" t="s">
        <v>119</v>
      </c>
      <c r="S252" s="169" t="s">
        <v>120</v>
      </c>
      <c r="T252" s="169" t="s">
        <v>121</v>
      </c>
      <c r="U252" s="169" t="s">
        <v>122</v>
      </c>
      <c r="V252" s="169" t="s">
        <v>123</v>
      </c>
      <c r="W252" s="169" t="s">
        <v>124</v>
      </c>
      <c r="X252" s="169" t="s">
        <v>125</v>
      </c>
      <c r="Y252" s="169" t="s">
        <v>126</v>
      </c>
      <c r="Z252" s="169" t="s">
        <v>127</v>
      </c>
      <c r="AA252" s="169" t="s">
        <v>128</v>
      </c>
      <c r="AB252" s="169" t="s">
        <v>129</v>
      </c>
      <c r="AC252" s="169" t="s">
        <v>130</v>
      </c>
      <c r="AD252" s="169" t="s">
        <v>131</v>
      </c>
      <c r="AE252" s="169" t="s">
        <v>132</v>
      </c>
      <c r="AF252" s="169" t="s">
        <v>133</v>
      </c>
      <c r="AG252" s="169" t="s">
        <v>134</v>
      </c>
      <c r="AH252" s="169" t="s">
        <v>135</v>
      </c>
      <c r="AI252" s="169" t="s">
        <v>136</v>
      </c>
      <c r="AJ252" s="169" t="s">
        <v>137</v>
      </c>
      <c r="AK252" s="171" t="s">
        <v>0</v>
      </c>
      <c r="AM252" s="31"/>
    </row>
    <row r="253" spans="1:61" x14ac:dyDescent="0.2">
      <c r="A253" s="150" t="s">
        <v>65</v>
      </c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2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</row>
    <row r="254" spans="1:61" x14ac:dyDescent="0.2">
      <c r="A254" s="110" t="s">
        <v>92</v>
      </c>
      <c r="B254" s="44">
        <v>33</v>
      </c>
      <c r="C254" s="44">
        <v>2</v>
      </c>
      <c r="D254" s="44">
        <v>0</v>
      </c>
      <c r="E254" s="44">
        <v>0</v>
      </c>
      <c r="F254" s="44">
        <v>0</v>
      </c>
      <c r="G254" s="44">
        <v>2</v>
      </c>
      <c r="H254" s="44">
        <v>0</v>
      </c>
      <c r="I254" s="44">
        <v>0</v>
      </c>
      <c r="J254" s="44">
        <v>14</v>
      </c>
      <c r="K254" s="44">
        <v>0</v>
      </c>
      <c r="L254" s="44">
        <v>5</v>
      </c>
      <c r="M254" s="153">
        <v>2</v>
      </c>
      <c r="N254" s="153">
        <v>0</v>
      </c>
      <c r="O254" s="153">
        <v>1</v>
      </c>
      <c r="P254" s="153">
        <v>0</v>
      </c>
      <c r="Q254" s="153">
        <v>0</v>
      </c>
      <c r="R254" s="153">
        <v>0</v>
      </c>
      <c r="S254" s="153">
        <v>0</v>
      </c>
      <c r="T254" s="153">
        <v>0</v>
      </c>
      <c r="U254" s="153">
        <v>0</v>
      </c>
      <c r="V254" s="153">
        <v>0</v>
      </c>
      <c r="W254" s="153">
        <v>1</v>
      </c>
      <c r="X254" s="153">
        <v>0</v>
      </c>
      <c r="Y254" s="153">
        <v>0</v>
      </c>
      <c r="Z254" s="153">
        <v>1</v>
      </c>
      <c r="AA254" s="153">
        <v>1</v>
      </c>
      <c r="AB254" s="153">
        <v>12</v>
      </c>
      <c r="AC254" s="153">
        <v>0</v>
      </c>
      <c r="AD254" s="153">
        <v>7</v>
      </c>
      <c r="AE254" s="153">
        <v>0</v>
      </c>
      <c r="AF254" s="153">
        <v>0</v>
      </c>
      <c r="AG254" s="153">
        <v>8</v>
      </c>
      <c r="AH254" s="153">
        <v>4</v>
      </c>
      <c r="AI254" s="153">
        <v>2</v>
      </c>
      <c r="AJ254" s="153">
        <v>1</v>
      </c>
      <c r="AK254" s="46">
        <f>SUM(B254:AJ254)</f>
        <v>96</v>
      </c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</row>
    <row r="255" spans="1:61" x14ac:dyDescent="0.2">
      <c r="A255" s="110" t="s">
        <v>93</v>
      </c>
      <c r="B255" s="44">
        <v>142</v>
      </c>
      <c r="C255" s="44">
        <v>16</v>
      </c>
      <c r="D255" s="44">
        <v>36</v>
      </c>
      <c r="E255" s="44">
        <v>16</v>
      </c>
      <c r="F255" s="44">
        <v>1</v>
      </c>
      <c r="G255" s="44">
        <v>1</v>
      </c>
      <c r="H255" s="44">
        <v>1</v>
      </c>
      <c r="I255" s="44">
        <v>3</v>
      </c>
      <c r="J255" s="44">
        <v>103</v>
      </c>
      <c r="K255" s="44">
        <v>1</v>
      </c>
      <c r="L255" s="44">
        <v>39</v>
      </c>
      <c r="M255" s="153">
        <v>4</v>
      </c>
      <c r="N255" s="153">
        <v>0</v>
      </c>
      <c r="O255" s="153">
        <v>1</v>
      </c>
      <c r="P255" s="153">
        <v>26</v>
      </c>
      <c r="Q255" s="153">
        <v>0</v>
      </c>
      <c r="R255" s="153">
        <v>0</v>
      </c>
      <c r="S255" s="153">
        <v>0</v>
      </c>
      <c r="T255" s="153">
        <v>26</v>
      </c>
      <c r="U255" s="153">
        <v>13</v>
      </c>
      <c r="V255" s="153">
        <v>5</v>
      </c>
      <c r="W255" s="153">
        <v>4</v>
      </c>
      <c r="X255" s="153">
        <v>6</v>
      </c>
      <c r="Y255" s="153">
        <v>0</v>
      </c>
      <c r="Z255" s="153">
        <v>28</v>
      </c>
      <c r="AA255" s="153">
        <v>0</v>
      </c>
      <c r="AB255" s="153">
        <v>18</v>
      </c>
      <c r="AC255" s="153">
        <v>0</v>
      </c>
      <c r="AD255" s="153">
        <v>18</v>
      </c>
      <c r="AE255" s="153">
        <v>1</v>
      </c>
      <c r="AF255" s="153">
        <v>3</v>
      </c>
      <c r="AG255" s="153">
        <v>243</v>
      </c>
      <c r="AH255" s="153">
        <v>135</v>
      </c>
      <c r="AI255" s="153">
        <v>71</v>
      </c>
      <c r="AJ255" s="153">
        <v>27</v>
      </c>
      <c r="AK255" s="46">
        <f>SUM(B255:AJ255)</f>
        <v>988</v>
      </c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</row>
    <row r="256" spans="1:61" x14ac:dyDescent="0.2">
      <c r="A256" s="110" t="s">
        <v>1</v>
      </c>
      <c r="B256" s="44">
        <v>213</v>
      </c>
      <c r="C256" s="44">
        <v>30</v>
      </c>
      <c r="D256" s="44">
        <v>51</v>
      </c>
      <c r="E256" s="44">
        <v>1</v>
      </c>
      <c r="F256" s="44">
        <v>47</v>
      </c>
      <c r="G256" s="44">
        <v>19</v>
      </c>
      <c r="H256" s="44">
        <v>3</v>
      </c>
      <c r="I256" s="44">
        <v>62</v>
      </c>
      <c r="J256" s="44">
        <v>513</v>
      </c>
      <c r="K256" s="44">
        <v>0</v>
      </c>
      <c r="L256" s="44">
        <v>88</v>
      </c>
      <c r="M256" s="153">
        <v>0</v>
      </c>
      <c r="N256" s="153">
        <v>0</v>
      </c>
      <c r="O256" s="153">
        <v>0</v>
      </c>
      <c r="P256" s="153">
        <v>0</v>
      </c>
      <c r="Q256" s="153">
        <v>0</v>
      </c>
      <c r="R256" s="153">
        <v>0</v>
      </c>
      <c r="S256" s="153">
        <v>0</v>
      </c>
      <c r="T256" s="153">
        <v>0</v>
      </c>
      <c r="U256" s="153">
        <v>0</v>
      </c>
      <c r="V256" s="153">
        <v>3</v>
      </c>
      <c r="W256" s="153">
        <v>0</v>
      </c>
      <c r="X256" s="153">
        <v>0</v>
      </c>
      <c r="Y256" s="153">
        <v>0</v>
      </c>
      <c r="Z256" s="153">
        <v>0</v>
      </c>
      <c r="AA256" s="153">
        <v>0</v>
      </c>
      <c r="AB256" s="153">
        <v>0</v>
      </c>
      <c r="AC256" s="153">
        <v>0</v>
      </c>
      <c r="AD256" s="153">
        <v>0</v>
      </c>
      <c r="AE256" s="153">
        <v>0</v>
      </c>
      <c r="AF256" s="153">
        <v>0</v>
      </c>
      <c r="AG256" s="153">
        <v>1</v>
      </c>
      <c r="AH256" s="153">
        <v>17</v>
      </c>
      <c r="AI256" s="153">
        <v>35</v>
      </c>
      <c r="AJ256" s="153">
        <v>13</v>
      </c>
      <c r="AK256" s="46">
        <f>SUM(B256:AJ256)</f>
        <v>1096</v>
      </c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</row>
    <row r="257" spans="1:61" x14ac:dyDescent="0.2">
      <c r="A257" s="154" t="s">
        <v>7</v>
      </c>
      <c r="B257" s="155">
        <f t="shared" ref="B257:K257" si="51">B254+B255+B256</f>
        <v>388</v>
      </c>
      <c r="C257" s="155">
        <f t="shared" si="51"/>
        <v>48</v>
      </c>
      <c r="D257" s="155">
        <f t="shared" si="51"/>
        <v>87</v>
      </c>
      <c r="E257" s="155">
        <f t="shared" si="51"/>
        <v>17</v>
      </c>
      <c r="F257" s="155">
        <f t="shared" si="51"/>
        <v>48</v>
      </c>
      <c r="G257" s="155">
        <f t="shared" si="51"/>
        <v>22</v>
      </c>
      <c r="H257" s="155">
        <f t="shared" si="51"/>
        <v>4</v>
      </c>
      <c r="I257" s="156">
        <f t="shared" si="51"/>
        <v>65</v>
      </c>
      <c r="J257" s="156">
        <f t="shared" si="51"/>
        <v>630</v>
      </c>
      <c r="K257" s="156">
        <f t="shared" si="51"/>
        <v>1</v>
      </c>
      <c r="L257" s="155">
        <f t="shared" ref="L257:AJ257" si="52">L254+L255+L256</f>
        <v>132</v>
      </c>
      <c r="M257" s="156">
        <f t="shared" si="52"/>
        <v>6</v>
      </c>
      <c r="N257" s="156">
        <f t="shared" si="52"/>
        <v>0</v>
      </c>
      <c r="O257" s="156">
        <f t="shared" si="52"/>
        <v>2</v>
      </c>
      <c r="P257" s="156">
        <f t="shared" si="52"/>
        <v>26</v>
      </c>
      <c r="Q257" s="156">
        <f t="shared" si="52"/>
        <v>0</v>
      </c>
      <c r="R257" s="156">
        <f t="shared" si="52"/>
        <v>0</v>
      </c>
      <c r="S257" s="156">
        <f t="shared" si="52"/>
        <v>0</v>
      </c>
      <c r="T257" s="156">
        <f t="shared" si="52"/>
        <v>26</v>
      </c>
      <c r="U257" s="156">
        <f t="shared" si="52"/>
        <v>13</v>
      </c>
      <c r="V257" s="156">
        <f t="shared" si="52"/>
        <v>8</v>
      </c>
      <c r="W257" s="156">
        <f t="shared" si="52"/>
        <v>5</v>
      </c>
      <c r="X257" s="156">
        <f t="shared" si="52"/>
        <v>6</v>
      </c>
      <c r="Y257" s="156">
        <f t="shared" si="52"/>
        <v>0</v>
      </c>
      <c r="Z257" s="156">
        <f t="shared" si="52"/>
        <v>29</v>
      </c>
      <c r="AA257" s="156">
        <f t="shared" si="52"/>
        <v>1</v>
      </c>
      <c r="AB257" s="156">
        <f t="shared" si="52"/>
        <v>30</v>
      </c>
      <c r="AC257" s="156">
        <f t="shared" si="52"/>
        <v>0</v>
      </c>
      <c r="AD257" s="156">
        <f t="shared" si="52"/>
        <v>25</v>
      </c>
      <c r="AE257" s="156">
        <f t="shared" si="52"/>
        <v>1</v>
      </c>
      <c r="AF257" s="156">
        <f t="shared" si="52"/>
        <v>3</v>
      </c>
      <c r="AG257" s="156">
        <f t="shared" si="52"/>
        <v>252</v>
      </c>
      <c r="AH257" s="156">
        <f t="shared" si="52"/>
        <v>156</v>
      </c>
      <c r="AI257" s="156">
        <f t="shared" si="52"/>
        <v>108</v>
      </c>
      <c r="AJ257" s="156">
        <f t="shared" si="52"/>
        <v>41</v>
      </c>
      <c r="AK257" s="157">
        <f>SUM(AK254:AK256)</f>
        <v>2180</v>
      </c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</row>
    <row r="258" spans="1:61" x14ac:dyDescent="0.2">
      <c r="A258" s="120" t="s">
        <v>66</v>
      </c>
      <c r="B258" s="45" t="s">
        <v>138</v>
      </c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46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</row>
    <row r="259" spans="1:61" x14ac:dyDescent="0.2">
      <c r="A259" s="110" t="s">
        <v>92</v>
      </c>
      <c r="B259" s="44">
        <v>14</v>
      </c>
      <c r="C259" s="44">
        <v>2</v>
      </c>
      <c r="D259" s="44">
        <v>1</v>
      </c>
      <c r="E259" s="44">
        <v>1</v>
      </c>
      <c r="F259" s="44">
        <v>0</v>
      </c>
      <c r="G259" s="44">
        <v>0</v>
      </c>
      <c r="H259" s="44">
        <v>0</v>
      </c>
      <c r="I259" s="44">
        <v>2</v>
      </c>
      <c r="J259" s="44">
        <v>2</v>
      </c>
      <c r="K259" s="44">
        <v>0</v>
      </c>
      <c r="L259" s="44">
        <v>0</v>
      </c>
      <c r="M259" s="153">
        <v>2</v>
      </c>
      <c r="N259" s="153">
        <v>0</v>
      </c>
      <c r="O259" s="153">
        <v>0</v>
      </c>
      <c r="P259" s="153">
        <v>0</v>
      </c>
      <c r="Q259" s="153">
        <v>0</v>
      </c>
      <c r="R259" s="153">
        <v>0</v>
      </c>
      <c r="S259" s="153">
        <v>0</v>
      </c>
      <c r="T259" s="153">
        <v>0</v>
      </c>
      <c r="U259" s="153">
        <v>1</v>
      </c>
      <c r="V259" s="153">
        <v>2</v>
      </c>
      <c r="W259" s="153">
        <v>2</v>
      </c>
      <c r="X259" s="153">
        <v>0</v>
      </c>
      <c r="Y259" s="153">
        <v>0</v>
      </c>
      <c r="Z259" s="153">
        <v>1</v>
      </c>
      <c r="AA259" s="153">
        <v>0</v>
      </c>
      <c r="AB259" s="153">
        <v>2</v>
      </c>
      <c r="AC259" s="153">
        <v>0</v>
      </c>
      <c r="AD259" s="153">
        <v>9</v>
      </c>
      <c r="AE259" s="153">
        <v>0</v>
      </c>
      <c r="AF259" s="153">
        <v>0</v>
      </c>
      <c r="AG259" s="153">
        <v>4</v>
      </c>
      <c r="AH259" s="153">
        <v>1</v>
      </c>
      <c r="AI259" s="153">
        <v>0</v>
      </c>
      <c r="AJ259" s="153">
        <v>3</v>
      </c>
      <c r="AK259" s="46">
        <f>SUM(B259:AJ259)</f>
        <v>49</v>
      </c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</row>
    <row r="260" spans="1:61" x14ac:dyDescent="0.2">
      <c r="A260" s="110" t="s">
        <v>93</v>
      </c>
      <c r="B260" s="44">
        <v>204</v>
      </c>
      <c r="C260" s="44">
        <v>30</v>
      </c>
      <c r="D260" s="44">
        <v>32</v>
      </c>
      <c r="E260" s="44">
        <v>13</v>
      </c>
      <c r="F260" s="44">
        <v>4</v>
      </c>
      <c r="G260" s="44">
        <v>4</v>
      </c>
      <c r="H260" s="44">
        <v>1</v>
      </c>
      <c r="I260" s="44">
        <v>1</v>
      </c>
      <c r="J260" s="44">
        <v>133</v>
      </c>
      <c r="K260" s="44">
        <v>0</v>
      </c>
      <c r="L260" s="44">
        <v>53</v>
      </c>
      <c r="M260" s="153">
        <v>0</v>
      </c>
      <c r="N260" s="153">
        <v>2</v>
      </c>
      <c r="O260" s="153">
        <v>0</v>
      </c>
      <c r="P260" s="153">
        <v>22</v>
      </c>
      <c r="Q260" s="153">
        <v>0</v>
      </c>
      <c r="R260" s="153">
        <v>0</v>
      </c>
      <c r="S260" s="153">
        <v>0</v>
      </c>
      <c r="T260" s="153">
        <v>16</v>
      </c>
      <c r="U260" s="153">
        <v>12</v>
      </c>
      <c r="V260" s="153">
        <v>3</v>
      </c>
      <c r="W260" s="153">
        <v>3</v>
      </c>
      <c r="X260" s="153">
        <v>9</v>
      </c>
      <c r="Y260" s="153">
        <v>0</v>
      </c>
      <c r="Z260" s="153">
        <v>15</v>
      </c>
      <c r="AA260" s="153">
        <v>4</v>
      </c>
      <c r="AB260" s="153">
        <v>15</v>
      </c>
      <c r="AC260" s="153">
        <v>1</v>
      </c>
      <c r="AD260" s="153">
        <v>21</v>
      </c>
      <c r="AE260" s="153">
        <v>2</v>
      </c>
      <c r="AF260" s="153">
        <v>5</v>
      </c>
      <c r="AG260" s="153">
        <v>253</v>
      </c>
      <c r="AH260" s="153">
        <v>162</v>
      </c>
      <c r="AI260" s="153">
        <v>57</v>
      </c>
      <c r="AJ260" s="153">
        <v>19</v>
      </c>
      <c r="AK260" s="46">
        <f>SUM(B260:AJ260)</f>
        <v>1096</v>
      </c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</row>
    <row r="261" spans="1:61" x14ac:dyDescent="0.2">
      <c r="A261" s="110" t="s">
        <v>1</v>
      </c>
      <c r="B261" s="44">
        <v>429</v>
      </c>
      <c r="C261" s="44">
        <v>43</v>
      </c>
      <c r="D261" s="44">
        <v>74</v>
      </c>
      <c r="E261" s="44">
        <v>6</v>
      </c>
      <c r="F261" s="44">
        <v>64</v>
      </c>
      <c r="G261" s="44">
        <v>32</v>
      </c>
      <c r="H261" s="44">
        <v>4</v>
      </c>
      <c r="I261" s="44">
        <v>10</v>
      </c>
      <c r="J261" s="44">
        <v>290</v>
      </c>
      <c r="K261" s="44">
        <v>0</v>
      </c>
      <c r="L261" s="44">
        <v>101</v>
      </c>
      <c r="M261" s="153">
        <v>0</v>
      </c>
      <c r="N261" s="153">
        <v>0</v>
      </c>
      <c r="O261" s="153">
        <v>0</v>
      </c>
      <c r="P261" s="153">
        <v>0</v>
      </c>
      <c r="Q261" s="153">
        <v>0</v>
      </c>
      <c r="R261" s="153">
        <v>0</v>
      </c>
      <c r="S261" s="153">
        <v>0</v>
      </c>
      <c r="T261" s="153">
        <v>1</v>
      </c>
      <c r="U261" s="153">
        <v>0</v>
      </c>
      <c r="V261" s="153">
        <v>0</v>
      </c>
      <c r="W261" s="153">
        <v>0</v>
      </c>
      <c r="X261" s="153">
        <v>0</v>
      </c>
      <c r="Y261" s="153">
        <v>0</v>
      </c>
      <c r="Z261" s="153">
        <v>0</v>
      </c>
      <c r="AA261" s="153">
        <v>0</v>
      </c>
      <c r="AB261" s="153">
        <v>0</v>
      </c>
      <c r="AC261" s="153">
        <v>0</v>
      </c>
      <c r="AD261" s="153">
        <v>0</v>
      </c>
      <c r="AE261" s="153">
        <v>0</v>
      </c>
      <c r="AF261" s="153">
        <v>0</v>
      </c>
      <c r="AG261" s="153">
        <v>0</v>
      </c>
      <c r="AH261" s="153">
        <v>22</v>
      </c>
      <c r="AI261" s="153">
        <v>56</v>
      </c>
      <c r="AJ261" s="153">
        <v>12</v>
      </c>
      <c r="AK261" s="46">
        <f>SUM(B261:AJ261)</f>
        <v>1144</v>
      </c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</row>
    <row r="262" spans="1:61" x14ac:dyDescent="0.2">
      <c r="A262" s="154" t="s">
        <v>7</v>
      </c>
      <c r="B262" s="155">
        <f t="shared" ref="B262:K262" si="53">B259+B260+B261</f>
        <v>647</v>
      </c>
      <c r="C262" s="155">
        <f t="shared" si="53"/>
        <v>75</v>
      </c>
      <c r="D262" s="155">
        <f t="shared" si="53"/>
        <v>107</v>
      </c>
      <c r="E262" s="155">
        <f t="shared" si="53"/>
        <v>20</v>
      </c>
      <c r="F262" s="155">
        <f t="shared" si="53"/>
        <v>68</v>
      </c>
      <c r="G262" s="155">
        <f t="shared" si="53"/>
        <v>36</v>
      </c>
      <c r="H262" s="155">
        <f t="shared" si="53"/>
        <v>5</v>
      </c>
      <c r="I262" s="155">
        <f t="shared" si="53"/>
        <v>13</v>
      </c>
      <c r="J262" s="155">
        <f t="shared" si="53"/>
        <v>425</v>
      </c>
      <c r="K262" s="156">
        <f t="shared" si="53"/>
        <v>0</v>
      </c>
      <c r="L262" s="155">
        <f t="shared" ref="L262:AJ262" si="54">L259+L260+L261</f>
        <v>154</v>
      </c>
      <c r="M262" s="156">
        <f t="shared" si="54"/>
        <v>2</v>
      </c>
      <c r="N262" s="156">
        <f t="shared" si="54"/>
        <v>2</v>
      </c>
      <c r="O262" s="156">
        <f t="shared" si="54"/>
        <v>0</v>
      </c>
      <c r="P262" s="156">
        <f t="shared" si="54"/>
        <v>22</v>
      </c>
      <c r="Q262" s="156">
        <f t="shared" si="54"/>
        <v>0</v>
      </c>
      <c r="R262" s="156">
        <f t="shared" si="54"/>
        <v>0</v>
      </c>
      <c r="S262" s="156">
        <f t="shared" si="54"/>
        <v>0</v>
      </c>
      <c r="T262" s="156">
        <f t="shared" si="54"/>
        <v>17</v>
      </c>
      <c r="U262" s="156">
        <f t="shared" si="54"/>
        <v>13</v>
      </c>
      <c r="V262" s="156">
        <f t="shared" si="54"/>
        <v>5</v>
      </c>
      <c r="W262" s="156">
        <f t="shared" si="54"/>
        <v>5</v>
      </c>
      <c r="X262" s="156">
        <f t="shared" si="54"/>
        <v>9</v>
      </c>
      <c r="Y262" s="156">
        <f t="shared" si="54"/>
        <v>0</v>
      </c>
      <c r="Z262" s="156">
        <f t="shared" si="54"/>
        <v>16</v>
      </c>
      <c r="AA262" s="156">
        <f t="shared" si="54"/>
        <v>4</v>
      </c>
      <c r="AB262" s="156">
        <f t="shared" si="54"/>
        <v>17</v>
      </c>
      <c r="AC262" s="156">
        <f t="shared" si="54"/>
        <v>1</v>
      </c>
      <c r="AD262" s="156">
        <f t="shared" si="54"/>
        <v>30</v>
      </c>
      <c r="AE262" s="156">
        <f t="shared" si="54"/>
        <v>2</v>
      </c>
      <c r="AF262" s="156">
        <f t="shared" si="54"/>
        <v>5</v>
      </c>
      <c r="AG262" s="156">
        <f t="shared" si="54"/>
        <v>257</v>
      </c>
      <c r="AH262" s="156">
        <f t="shared" si="54"/>
        <v>185</v>
      </c>
      <c r="AI262" s="156">
        <f t="shared" si="54"/>
        <v>113</v>
      </c>
      <c r="AJ262" s="156">
        <f t="shared" si="54"/>
        <v>34</v>
      </c>
      <c r="AK262" s="157">
        <f>SUM(AK259:AK261)</f>
        <v>2289</v>
      </c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</row>
    <row r="263" spans="1:61" x14ac:dyDescent="0.2">
      <c r="A263" s="120" t="s">
        <v>67</v>
      </c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46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</row>
    <row r="264" spans="1:61" x14ac:dyDescent="0.2">
      <c r="A264" s="110" t="s">
        <v>92</v>
      </c>
      <c r="B264" s="44">
        <v>6</v>
      </c>
      <c r="C264" s="44">
        <v>0</v>
      </c>
      <c r="D264" s="44">
        <v>0</v>
      </c>
      <c r="E264" s="44">
        <v>0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  <c r="W264" s="44">
        <v>0</v>
      </c>
      <c r="X264" s="44">
        <v>0</v>
      </c>
      <c r="Y264" s="44">
        <v>0</v>
      </c>
      <c r="Z264" s="44">
        <v>0</v>
      </c>
      <c r="AA264" s="44">
        <v>0</v>
      </c>
      <c r="AB264" s="44">
        <v>0</v>
      </c>
      <c r="AC264" s="44">
        <v>0</v>
      </c>
      <c r="AD264" s="44">
        <v>0</v>
      </c>
      <c r="AE264" s="44">
        <v>0</v>
      </c>
      <c r="AF264" s="44">
        <v>0</v>
      </c>
      <c r="AG264" s="44">
        <v>0</v>
      </c>
      <c r="AH264" s="44">
        <v>0</v>
      </c>
      <c r="AI264" s="44">
        <v>0</v>
      </c>
      <c r="AJ264" s="44">
        <v>0</v>
      </c>
      <c r="AK264" s="46">
        <f>SUM(B264:AJ264)</f>
        <v>6</v>
      </c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</row>
    <row r="265" spans="1:61" x14ac:dyDescent="0.2">
      <c r="A265" s="110" t="s">
        <v>93</v>
      </c>
      <c r="B265" s="44">
        <v>340</v>
      </c>
      <c r="C265" s="44">
        <v>62</v>
      </c>
      <c r="D265" s="44">
        <v>35</v>
      </c>
      <c r="E265" s="44">
        <v>16</v>
      </c>
      <c r="F265" s="44">
        <v>20</v>
      </c>
      <c r="G265" s="44">
        <v>5</v>
      </c>
      <c r="H265" s="44">
        <v>2</v>
      </c>
      <c r="I265" s="44">
        <v>7</v>
      </c>
      <c r="J265" s="44">
        <v>175</v>
      </c>
      <c r="K265" s="44">
        <v>0</v>
      </c>
      <c r="L265" s="44">
        <v>96</v>
      </c>
      <c r="M265" s="153">
        <v>0</v>
      </c>
      <c r="N265" s="153">
        <v>0</v>
      </c>
      <c r="O265" s="153">
        <v>1</v>
      </c>
      <c r="P265" s="153">
        <v>26</v>
      </c>
      <c r="Q265" s="153">
        <v>0</v>
      </c>
      <c r="R265" s="153">
        <v>0</v>
      </c>
      <c r="S265" s="153">
        <v>0</v>
      </c>
      <c r="T265" s="153">
        <v>21</v>
      </c>
      <c r="U265" s="153">
        <v>14</v>
      </c>
      <c r="V265" s="153">
        <v>7</v>
      </c>
      <c r="W265" s="153">
        <v>4</v>
      </c>
      <c r="X265" s="153">
        <v>2</v>
      </c>
      <c r="Y265" s="153">
        <v>0</v>
      </c>
      <c r="Z265" s="153">
        <v>29</v>
      </c>
      <c r="AA265" s="153">
        <v>9</v>
      </c>
      <c r="AB265" s="153">
        <v>17</v>
      </c>
      <c r="AC265" s="153">
        <v>0</v>
      </c>
      <c r="AD265" s="153">
        <v>50</v>
      </c>
      <c r="AE265" s="153">
        <v>2</v>
      </c>
      <c r="AF265" s="153">
        <v>0</v>
      </c>
      <c r="AG265" s="153">
        <v>264</v>
      </c>
      <c r="AH265" s="153">
        <v>231</v>
      </c>
      <c r="AI265" s="153">
        <v>57</v>
      </c>
      <c r="AJ265" s="153">
        <v>18</v>
      </c>
      <c r="AK265" s="46">
        <f>SUM(B265:AJ265)</f>
        <v>1510</v>
      </c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</row>
    <row r="266" spans="1:61" x14ac:dyDescent="0.2">
      <c r="A266" s="110" t="s">
        <v>1</v>
      </c>
      <c r="B266" s="44">
        <v>343</v>
      </c>
      <c r="C266" s="44">
        <v>51</v>
      </c>
      <c r="D266" s="44">
        <v>30</v>
      </c>
      <c r="E266" s="44">
        <v>3</v>
      </c>
      <c r="F266" s="44">
        <v>23</v>
      </c>
      <c r="G266" s="44">
        <v>3</v>
      </c>
      <c r="H266" s="44">
        <v>5</v>
      </c>
      <c r="I266" s="44">
        <v>0</v>
      </c>
      <c r="J266" s="44">
        <v>123</v>
      </c>
      <c r="K266" s="44">
        <v>0</v>
      </c>
      <c r="L266" s="44">
        <v>54</v>
      </c>
      <c r="M266" s="153">
        <v>0</v>
      </c>
      <c r="N266" s="153">
        <v>0</v>
      </c>
      <c r="O266" s="153">
        <v>0</v>
      </c>
      <c r="P266" s="153">
        <v>0</v>
      </c>
      <c r="Q266" s="153">
        <v>0</v>
      </c>
      <c r="R266" s="153">
        <v>0</v>
      </c>
      <c r="S266" s="153">
        <v>0</v>
      </c>
      <c r="T266" s="153">
        <v>0</v>
      </c>
      <c r="U266" s="153">
        <v>0</v>
      </c>
      <c r="V266" s="153">
        <v>0</v>
      </c>
      <c r="W266" s="153">
        <v>0</v>
      </c>
      <c r="X266" s="153">
        <v>0</v>
      </c>
      <c r="Y266" s="153">
        <v>0</v>
      </c>
      <c r="Z266" s="153">
        <v>0</v>
      </c>
      <c r="AA266" s="153">
        <v>0</v>
      </c>
      <c r="AB266" s="153">
        <v>0</v>
      </c>
      <c r="AC266" s="153">
        <v>0</v>
      </c>
      <c r="AD266" s="153">
        <v>0</v>
      </c>
      <c r="AE266" s="153">
        <v>0</v>
      </c>
      <c r="AF266" s="153">
        <v>0</v>
      </c>
      <c r="AG266" s="153">
        <v>0</v>
      </c>
      <c r="AH266" s="153">
        <v>34</v>
      </c>
      <c r="AI266" s="153">
        <v>16</v>
      </c>
      <c r="AJ266" s="153">
        <v>8</v>
      </c>
      <c r="AK266" s="46">
        <f>SUM(B266:AJ266)</f>
        <v>693</v>
      </c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</row>
    <row r="267" spans="1:61" x14ac:dyDescent="0.2">
      <c r="A267" s="154" t="s">
        <v>7</v>
      </c>
      <c r="B267" s="155">
        <f>SUM(B264:B266)</f>
        <v>689</v>
      </c>
      <c r="C267" s="155">
        <f t="shared" ref="C267:H267" si="55">SUM(C264:C266)</f>
        <v>113</v>
      </c>
      <c r="D267" s="155">
        <f t="shared" si="55"/>
        <v>65</v>
      </c>
      <c r="E267" s="155">
        <f t="shared" si="55"/>
        <v>19</v>
      </c>
      <c r="F267" s="155">
        <f t="shared" si="55"/>
        <v>43</v>
      </c>
      <c r="G267" s="155">
        <f t="shared" si="55"/>
        <v>8</v>
      </c>
      <c r="H267" s="155">
        <f t="shared" si="55"/>
        <v>7</v>
      </c>
      <c r="I267" s="156">
        <f>SUM(I264:I266)</f>
        <v>7</v>
      </c>
      <c r="J267" s="156">
        <f>SUM(J264:J266)</f>
        <v>298</v>
      </c>
      <c r="K267" s="156">
        <f>SUM(K264:K266)</f>
        <v>0</v>
      </c>
      <c r="L267" s="156">
        <f>SUM(L264:L266)</f>
        <v>150</v>
      </c>
      <c r="M267" s="156">
        <f t="shared" ref="M267:AK267" si="56">M264+M265+M266</f>
        <v>0</v>
      </c>
      <c r="N267" s="156">
        <f t="shared" si="56"/>
        <v>0</v>
      </c>
      <c r="O267" s="156">
        <f t="shared" si="56"/>
        <v>1</v>
      </c>
      <c r="P267" s="156">
        <f t="shared" si="56"/>
        <v>26</v>
      </c>
      <c r="Q267" s="156">
        <f t="shared" si="56"/>
        <v>0</v>
      </c>
      <c r="R267" s="156">
        <f t="shared" si="56"/>
        <v>0</v>
      </c>
      <c r="S267" s="156">
        <f t="shared" si="56"/>
        <v>0</v>
      </c>
      <c r="T267" s="156">
        <f t="shared" si="56"/>
        <v>21</v>
      </c>
      <c r="U267" s="156">
        <f t="shared" si="56"/>
        <v>14</v>
      </c>
      <c r="V267" s="156">
        <f t="shared" si="56"/>
        <v>7</v>
      </c>
      <c r="W267" s="156">
        <f t="shared" si="56"/>
        <v>4</v>
      </c>
      <c r="X267" s="156">
        <f t="shared" si="56"/>
        <v>2</v>
      </c>
      <c r="Y267" s="156">
        <f t="shared" si="56"/>
        <v>0</v>
      </c>
      <c r="Z267" s="156">
        <f t="shared" si="56"/>
        <v>29</v>
      </c>
      <c r="AA267" s="156">
        <f t="shared" si="56"/>
        <v>9</v>
      </c>
      <c r="AB267" s="156">
        <f t="shared" si="56"/>
        <v>17</v>
      </c>
      <c r="AC267" s="156">
        <f t="shared" si="56"/>
        <v>0</v>
      </c>
      <c r="AD267" s="156">
        <f t="shared" si="56"/>
        <v>50</v>
      </c>
      <c r="AE267" s="156">
        <f t="shared" si="56"/>
        <v>2</v>
      </c>
      <c r="AF267" s="156">
        <f t="shared" si="56"/>
        <v>0</v>
      </c>
      <c r="AG267" s="156">
        <f t="shared" si="56"/>
        <v>264</v>
      </c>
      <c r="AH267" s="156">
        <f t="shared" si="56"/>
        <v>265</v>
      </c>
      <c r="AI267" s="156">
        <f t="shared" si="56"/>
        <v>73</v>
      </c>
      <c r="AJ267" s="156">
        <f t="shared" si="56"/>
        <v>26</v>
      </c>
      <c r="AK267" s="157">
        <f t="shared" si="56"/>
        <v>2209</v>
      </c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</row>
    <row r="268" spans="1:61" x14ac:dyDescent="0.2">
      <c r="A268" s="120" t="s">
        <v>68</v>
      </c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46"/>
      <c r="AL268" s="31"/>
      <c r="AM268" s="31"/>
      <c r="AN268" s="31">
        <v>13</v>
      </c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</row>
    <row r="269" spans="1:61" x14ac:dyDescent="0.2">
      <c r="A269" s="110" t="s">
        <v>92</v>
      </c>
      <c r="B269" s="44">
        <v>13</v>
      </c>
      <c r="C269" s="44">
        <v>0</v>
      </c>
      <c r="D269" s="44">
        <v>6</v>
      </c>
      <c r="E269" s="44">
        <v>0</v>
      </c>
      <c r="F269" s="44">
        <v>0</v>
      </c>
      <c r="G269" s="44">
        <v>0</v>
      </c>
      <c r="H269" s="44">
        <v>0</v>
      </c>
      <c r="I269" s="44">
        <v>0</v>
      </c>
      <c r="J269" s="44">
        <v>4</v>
      </c>
      <c r="K269" s="44">
        <v>0</v>
      </c>
      <c r="L269" s="44">
        <v>3</v>
      </c>
      <c r="M269" s="153">
        <v>1</v>
      </c>
      <c r="N269" s="153">
        <v>0</v>
      </c>
      <c r="O269" s="153">
        <v>0</v>
      </c>
      <c r="P269" s="153">
        <v>1</v>
      </c>
      <c r="Q269" s="153">
        <v>0</v>
      </c>
      <c r="R269" s="153">
        <v>0</v>
      </c>
      <c r="S269" s="153">
        <v>0</v>
      </c>
      <c r="T269" s="153">
        <v>1</v>
      </c>
      <c r="U269" s="153">
        <v>1</v>
      </c>
      <c r="V269" s="153">
        <v>0</v>
      </c>
      <c r="W269" s="153">
        <v>0</v>
      </c>
      <c r="X269" s="153">
        <v>0</v>
      </c>
      <c r="Y269" s="153">
        <v>0</v>
      </c>
      <c r="Z269" s="153">
        <v>2</v>
      </c>
      <c r="AA269" s="153">
        <v>0</v>
      </c>
      <c r="AB269" s="153">
        <v>8</v>
      </c>
      <c r="AC269" s="153">
        <v>0</v>
      </c>
      <c r="AD269" s="153">
        <v>2</v>
      </c>
      <c r="AE269" s="153">
        <v>0</v>
      </c>
      <c r="AF269" s="153">
        <v>0</v>
      </c>
      <c r="AG269" s="153">
        <v>2</v>
      </c>
      <c r="AH269" s="153">
        <v>2</v>
      </c>
      <c r="AI269" s="153">
        <v>0</v>
      </c>
      <c r="AJ269" s="153">
        <v>2</v>
      </c>
      <c r="AK269" s="46">
        <f>SUM(B269:AJ269)</f>
        <v>48</v>
      </c>
      <c r="AL269" s="31"/>
      <c r="AM269" s="31"/>
      <c r="AN269" s="31">
        <v>2</v>
      </c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</row>
    <row r="270" spans="1:61" x14ac:dyDescent="0.2">
      <c r="A270" s="110" t="s">
        <v>93</v>
      </c>
      <c r="B270" s="44">
        <v>272</v>
      </c>
      <c r="C270" s="44">
        <v>34</v>
      </c>
      <c r="D270" s="44">
        <v>56</v>
      </c>
      <c r="E270" s="44">
        <v>12</v>
      </c>
      <c r="F270" s="44">
        <v>8</v>
      </c>
      <c r="G270" s="44">
        <v>9</v>
      </c>
      <c r="H270" s="44">
        <v>3</v>
      </c>
      <c r="I270" s="44">
        <v>7</v>
      </c>
      <c r="J270" s="44">
        <v>203</v>
      </c>
      <c r="K270" s="44">
        <v>1</v>
      </c>
      <c r="L270" s="44">
        <v>86</v>
      </c>
      <c r="M270" s="153">
        <v>3</v>
      </c>
      <c r="N270" s="153">
        <v>0</v>
      </c>
      <c r="O270" s="153">
        <v>0</v>
      </c>
      <c r="P270" s="153">
        <v>28</v>
      </c>
      <c r="Q270" s="153">
        <v>3</v>
      </c>
      <c r="R270" s="153">
        <v>1</v>
      </c>
      <c r="S270" s="153">
        <v>0</v>
      </c>
      <c r="T270" s="153">
        <v>44</v>
      </c>
      <c r="U270" s="153">
        <v>4</v>
      </c>
      <c r="V270" s="153">
        <v>6</v>
      </c>
      <c r="W270" s="153">
        <v>3</v>
      </c>
      <c r="X270" s="153">
        <v>17</v>
      </c>
      <c r="Y270" s="153">
        <v>3</v>
      </c>
      <c r="Z270" s="153">
        <v>33</v>
      </c>
      <c r="AA270" s="153">
        <v>2</v>
      </c>
      <c r="AB270" s="153">
        <v>17</v>
      </c>
      <c r="AC270" s="153">
        <v>0</v>
      </c>
      <c r="AD270" s="153">
        <v>25</v>
      </c>
      <c r="AE270" s="153">
        <v>3</v>
      </c>
      <c r="AF270" s="153">
        <v>7</v>
      </c>
      <c r="AG270" s="153">
        <v>336</v>
      </c>
      <c r="AH270" s="153">
        <v>297</v>
      </c>
      <c r="AI270" s="153">
        <v>41</v>
      </c>
      <c r="AJ270" s="153">
        <v>42</v>
      </c>
      <c r="AK270" s="46">
        <f>SUM(B270:AJ270)</f>
        <v>1606</v>
      </c>
      <c r="AL270" s="31"/>
      <c r="AM270" s="31"/>
      <c r="AN270" s="31">
        <v>10</v>
      </c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</row>
    <row r="271" spans="1:61" x14ac:dyDescent="0.2">
      <c r="A271" s="110" t="s">
        <v>1</v>
      </c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46">
        <f>SUM(B271:AJ271)</f>
        <v>0</v>
      </c>
      <c r="AL271" s="31"/>
      <c r="AM271" s="31"/>
      <c r="AN271" s="31">
        <v>14</v>
      </c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</row>
    <row r="272" spans="1:61" x14ac:dyDescent="0.2">
      <c r="A272" s="154" t="s">
        <v>7</v>
      </c>
      <c r="B272" s="155">
        <f t="shared" ref="B272:K272" si="57">SUM(B269:B271)</f>
        <v>285</v>
      </c>
      <c r="C272" s="155">
        <f t="shared" si="57"/>
        <v>34</v>
      </c>
      <c r="D272" s="155">
        <f t="shared" si="57"/>
        <v>62</v>
      </c>
      <c r="E272" s="155">
        <f t="shared" si="57"/>
        <v>12</v>
      </c>
      <c r="F272" s="155">
        <f t="shared" si="57"/>
        <v>8</v>
      </c>
      <c r="G272" s="155">
        <f t="shared" si="57"/>
        <v>9</v>
      </c>
      <c r="H272" s="155">
        <f t="shared" si="57"/>
        <v>3</v>
      </c>
      <c r="I272" s="155">
        <f t="shared" si="57"/>
        <v>7</v>
      </c>
      <c r="J272" s="155">
        <f t="shared" si="57"/>
        <v>207</v>
      </c>
      <c r="K272" s="156">
        <f t="shared" si="57"/>
        <v>1</v>
      </c>
      <c r="L272" s="155">
        <f t="shared" ref="L272:AJ272" si="58">SUM(L269:L271)</f>
        <v>89</v>
      </c>
      <c r="M272" s="156">
        <f t="shared" si="58"/>
        <v>4</v>
      </c>
      <c r="N272" s="156">
        <f t="shared" si="58"/>
        <v>0</v>
      </c>
      <c r="O272" s="156">
        <f t="shared" si="58"/>
        <v>0</v>
      </c>
      <c r="P272" s="156">
        <f t="shared" si="58"/>
        <v>29</v>
      </c>
      <c r="Q272" s="156">
        <f t="shared" si="58"/>
        <v>3</v>
      </c>
      <c r="R272" s="156">
        <f t="shared" si="58"/>
        <v>1</v>
      </c>
      <c r="S272" s="156">
        <f t="shared" si="58"/>
        <v>0</v>
      </c>
      <c r="T272" s="156">
        <f t="shared" si="58"/>
        <v>45</v>
      </c>
      <c r="U272" s="156">
        <f t="shared" si="58"/>
        <v>5</v>
      </c>
      <c r="V272" s="156">
        <f t="shared" si="58"/>
        <v>6</v>
      </c>
      <c r="W272" s="156">
        <f t="shared" si="58"/>
        <v>3</v>
      </c>
      <c r="X272" s="156">
        <f t="shared" si="58"/>
        <v>17</v>
      </c>
      <c r="Y272" s="156">
        <f t="shared" si="58"/>
        <v>3</v>
      </c>
      <c r="Z272" s="156">
        <f t="shared" si="58"/>
        <v>35</v>
      </c>
      <c r="AA272" s="156">
        <f t="shared" si="58"/>
        <v>2</v>
      </c>
      <c r="AB272" s="156">
        <f t="shared" si="58"/>
        <v>25</v>
      </c>
      <c r="AC272" s="156">
        <f t="shared" si="58"/>
        <v>0</v>
      </c>
      <c r="AD272" s="156">
        <f t="shared" si="58"/>
        <v>27</v>
      </c>
      <c r="AE272" s="156">
        <f t="shared" si="58"/>
        <v>3</v>
      </c>
      <c r="AF272" s="156">
        <f t="shared" si="58"/>
        <v>7</v>
      </c>
      <c r="AG272" s="156">
        <f t="shared" si="58"/>
        <v>338</v>
      </c>
      <c r="AH272" s="156">
        <f t="shared" si="58"/>
        <v>299</v>
      </c>
      <c r="AI272" s="156">
        <f t="shared" si="58"/>
        <v>41</v>
      </c>
      <c r="AJ272" s="156">
        <f t="shared" si="58"/>
        <v>44</v>
      </c>
      <c r="AK272" s="157">
        <f>SUM(AK269:AK271)</f>
        <v>1654</v>
      </c>
      <c r="AL272" s="31"/>
      <c r="AM272" s="31"/>
      <c r="AN272" s="31">
        <v>1</v>
      </c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</row>
    <row r="273" spans="1:61" x14ac:dyDescent="0.2">
      <c r="A273" s="120" t="s">
        <v>69</v>
      </c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46"/>
      <c r="AL273" s="31"/>
      <c r="AM273" s="31"/>
      <c r="AN273" s="31">
        <v>5</v>
      </c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</row>
    <row r="274" spans="1:61" x14ac:dyDescent="0.2">
      <c r="A274" s="110" t="s">
        <v>92</v>
      </c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46">
        <f>SUM(B274:AJ274)</f>
        <v>0</v>
      </c>
      <c r="AL274" s="31"/>
      <c r="AM274" s="31"/>
      <c r="AN274" s="31">
        <v>248</v>
      </c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</row>
    <row r="275" spans="1:61" x14ac:dyDescent="0.2">
      <c r="A275" s="110" t="s">
        <v>93</v>
      </c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46">
        <f>SUM(B275:AJ275)</f>
        <v>0</v>
      </c>
      <c r="AL275" s="31"/>
      <c r="AM275" s="31"/>
      <c r="AN275" s="31">
        <v>147</v>
      </c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</row>
    <row r="276" spans="1:61" x14ac:dyDescent="0.2">
      <c r="A276" s="110" t="s">
        <v>1</v>
      </c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46">
        <f>SUM(B276:AJ276)</f>
        <v>0</v>
      </c>
      <c r="AL276" s="31"/>
      <c r="AM276" s="31"/>
      <c r="AN276" s="31">
        <v>44</v>
      </c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</row>
    <row r="277" spans="1:61" ht="15.75" thickBot="1" x14ac:dyDescent="0.25">
      <c r="A277" s="154" t="s">
        <v>7</v>
      </c>
      <c r="B277" s="155">
        <f>SUM(B274:B276)</f>
        <v>0</v>
      </c>
      <c r="C277" s="155">
        <f t="shared" ref="C277:H277" si="59">SUM(C274:C276)</f>
        <v>0</v>
      </c>
      <c r="D277" s="155">
        <f t="shared" si="59"/>
        <v>0</v>
      </c>
      <c r="E277" s="155">
        <f t="shared" si="59"/>
        <v>0</v>
      </c>
      <c r="F277" s="155">
        <f t="shared" si="59"/>
        <v>0</v>
      </c>
      <c r="G277" s="155">
        <f t="shared" si="59"/>
        <v>0</v>
      </c>
      <c r="H277" s="155">
        <f t="shared" si="59"/>
        <v>0</v>
      </c>
      <c r="I277" s="156">
        <f>SUM(I274:I276)</f>
        <v>0</v>
      </c>
      <c r="J277" s="156">
        <f>SUM(J274:J276)</f>
        <v>0</v>
      </c>
      <c r="K277" s="156">
        <f>SUM(K274:K276)</f>
        <v>0</v>
      </c>
      <c r="L277" s="156">
        <f>SUM(L274:L276)</f>
        <v>0</v>
      </c>
      <c r="M277" s="156">
        <f t="shared" ref="M277:AK277" si="60">M274+M275+M276</f>
        <v>0</v>
      </c>
      <c r="N277" s="156">
        <f t="shared" si="60"/>
        <v>0</v>
      </c>
      <c r="O277" s="156">
        <f t="shared" si="60"/>
        <v>0</v>
      </c>
      <c r="P277" s="156">
        <f t="shared" si="60"/>
        <v>0</v>
      </c>
      <c r="Q277" s="156">
        <f t="shared" si="60"/>
        <v>0</v>
      </c>
      <c r="R277" s="156">
        <f t="shared" si="60"/>
        <v>0</v>
      </c>
      <c r="S277" s="156">
        <f t="shared" si="60"/>
        <v>0</v>
      </c>
      <c r="T277" s="156">
        <f t="shared" si="60"/>
        <v>0</v>
      </c>
      <c r="U277" s="156">
        <f t="shared" si="60"/>
        <v>0</v>
      </c>
      <c r="V277" s="156">
        <f t="shared" si="60"/>
        <v>0</v>
      </c>
      <c r="W277" s="156">
        <f t="shared" si="60"/>
        <v>0</v>
      </c>
      <c r="X277" s="156">
        <f t="shared" si="60"/>
        <v>0</v>
      </c>
      <c r="Y277" s="156">
        <f t="shared" si="60"/>
        <v>0</v>
      </c>
      <c r="Z277" s="156">
        <f t="shared" si="60"/>
        <v>0</v>
      </c>
      <c r="AA277" s="156">
        <f t="shared" si="60"/>
        <v>0</v>
      </c>
      <c r="AB277" s="156">
        <f t="shared" si="60"/>
        <v>0</v>
      </c>
      <c r="AC277" s="156">
        <f t="shared" si="60"/>
        <v>0</v>
      </c>
      <c r="AD277" s="156">
        <f t="shared" si="60"/>
        <v>0</v>
      </c>
      <c r="AE277" s="156">
        <f t="shared" si="60"/>
        <v>0</v>
      </c>
      <c r="AF277" s="156">
        <f t="shared" si="60"/>
        <v>0</v>
      </c>
      <c r="AG277" s="156">
        <f t="shared" si="60"/>
        <v>0</v>
      </c>
      <c r="AH277" s="156">
        <f t="shared" si="60"/>
        <v>0</v>
      </c>
      <c r="AI277" s="156">
        <f t="shared" si="60"/>
        <v>0</v>
      </c>
      <c r="AJ277" s="156">
        <f t="shared" si="60"/>
        <v>0</v>
      </c>
      <c r="AK277" s="157">
        <f t="shared" si="60"/>
        <v>0</v>
      </c>
      <c r="AL277" s="31"/>
      <c r="AM277" s="31"/>
      <c r="AN277" s="31">
        <v>41</v>
      </c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</row>
    <row r="278" spans="1:61" x14ac:dyDescent="0.2">
      <c r="A278" s="120" t="s">
        <v>70</v>
      </c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46"/>
      <c r="AL278" s="31"/>
      <c r="AM278" s="31"/>
      <c r="AN278" s="31">
        <v>228</v>
      </c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</row>
    <row r="279" spans="1:61" x14ac:dyDescent="0.2">
      <c r="A279" s="110" t="s">
        <v>92</v>
      </c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46">
        <f>SUM(B279:AJ279)</f>
        <v>0</v>
      </c>
      <c r="AL279" s="31"/>
      <c r="AM279" s="31"/>
      <c r="AN279" s="31">
        <v>368</v>
      </c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</row>
    <row r="280" spans="1:61" x14ac:dyDescent="0.2">
      <c r="A280" s="110" t="s">
        <v>93</v>
      </c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46">
        <f>SUM(B280:AJ280)</f>
        <v>0</v>
      </c>
      <c r="AL280" s="31"/>
      <c r="AM280" s="31"/>
      <c r="AN280" s="31">
        <v>23</v>
      </c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</row>
    <row r="281" spans="1:61" x14ac:dyDescent="0.2">
      <c r="A281" s="110" t="s">
        <v>1</v>
      </c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153"/>
      <c r="Q281" s="44"/>
      <c r="R281" s="44"/>
      <c r="S281" s="44"/>
      <c r="T281" s="44"/>
      <c r="U281" s="44"/>
      <c r="V281" s="153"/>
      <c r="W281" s="44"/>
      <c r="X281" s="44"/>
      <c r="Y281" s="153"/>
      <c r="Z281" s="153"/>
      <c r="AA281" s="153"/>
      <c r="AB281" s="44"/>
      <c r="AC281" s="44"/>
      <c r="AD281" s="44"/>
      <c r="AE281" s="44"/>
      <c r="AF281" s="153"/>
      <c r="AG281" s="153"/>
      <c r="AH281" s="153"/>
      <c r="AI281" s="153"/>
      <c r="AJ281" s="153"/>
      <c r="AK281" s="46">
        <f>SUM(B281:AJ281)</f>
        <v>0</v>
      </c>
      <c r="AL281" s="31"/>
      <c r="AM281" s="31"/>
      <c r="AN281" s="31">
        <v>45</v>
      </c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</row>
    <row r="282" spans="1:61" x14ac:dyDescent="0.2">
      <c r="A282" s="154" t="s">
        <v>7</v>
      </c>
      <c r="B282" s="155">
        <f t="shared" ref="B282:K282" si="61">B279+B280+B281</f>
        <v>0</v>
      </c>
      <c r="C282" s="155">
        <f t="shared" si="61"/>
        <v>0</v>
      </c>
      <c r="D282" s="155">
        <f t="shared" si="61"/>
        <v>0</v>
      </c>
      <c r="E282" s="155">
        <f t="shared" si="61"/>
        <v>0</v>
      </c>
      <c r="F282" s="155">
        <f t="shared" si="61"/>
        <v>0</v>
      </c>
      <c r="G282" s="155">
        <f t="shared" si="61"/>
        <v>0</v>
      </c>
      <c r="H282" s="155">
        <f t="shared" si="61"/>
        <v>0</v>
      </c>
      <c r="I282" s="156">
        <f t="shared" si="61"/>
        <v>0</v>
      </c>
      <c r="J282" s="156">
        <f t="shared" si="61"/>
        <v>0</v>
      </c>
      <c r="K282" s="156">
        <f t="shared" si="61"/>
        <v>0</v>
      </c>
      <c r="L282" s="155">
        <f t="shared" ref="L282:AK282" si="62">L279+L280+L281</f>
        <v>0</v>
      </c>
      <c r="M282" s="156">
        <f t="shared" si="62"/>
        <v>0</v>
      </c>
      <c r="N282" s="156">
        <f t="shared" si="62"/>
        <v>0</v>
      </c>
      <c r="O282" s="156">
        <f t="shared" si="62"/>
        <v>0</v>
      </c>
      <c r="P282" s="156">
        <f t="shared" si="62"/>
        <v>0</v>
      </c>
      <c r="Q282" s="156">
        <f t="shared" si="62"/>
        <v>0</v>
      </c>
      <c r="R282" s="156">
        <f t="shared" si="62"/>
        <v>0</v>
      </c>
      <c r="S282" s="156">
        <f t="shared" si="62"/>
        <v>0</v>
      </c>
      <c r="T282" s="156">
        <f t="shared" si="62"/>
        <v>0</v>
      </c>
      <c r="U282" s="156">
        <f t="shared" si="62"/>
        <v>0</v>
      </c>
      <c r="V282" s="156">
        <f t="shared" si="62"/>
        <v>0</v>
      </c>
      <c r="W282" s="156">
        <f t="shared" si="62"/>
        <v>0</v>
      </c>
      <c r="X282" s="156">
        <f t="shared" si="62"/>
        <v>0</v>
      </c>
      <c r="Y282" s="156">
        <f t="shared" si="62"/>
        <v>0</v>
      </c>
      <c r="Z282" s="156">
        <f t="shared" si="62"/>
        <v>0</v>
      </c>
      <c r="AA282" s="156">
        <f t="shared" si="62"/>
        <v>0</v>
      </c>
      <c r="AB282" s="156">
        <f t="shared" si="62"/>
        <v>0</v>
      </c>
      <c r="AC282" s="156">
        <f t="shared" si="62"/>
        <v>0</v>
      </c>
      <c r="AD282" s="156">
        <f t="shared" si="62"/>
        <v>0</v>
      </c>
      <c r="AE282" s="156">
        <f t="shared" si="62"/>
        <v>0</v>
      </c>
      <c r="AF282" s="156">
        <f t="shared" si="62"/>
        <v>0</v>
      </c>
      <c r="AG282" s="156">
        <f t="shared" si="62"/>
        <v>0</v>
      </c>
      <c r="AH282" s="156">
        <f t="shared" si="62"/>
        <v>0</v>
      </c>
      <c r="AI282" s="156">
        <f t="shared" si="62"/>
        <v>0</v>
      </c>
      <c r="AJ282" s="156">
        <f t="shared" si="62"/>
        <v>0</v>
      </c>
      <c r="AK282" s="157">
        <f t="shared" si="62"/>
        <v>0</v>
      </c>
      <c r="AL282" s="31"/>
      <c r="AM282" s="31"/>
      <c r="AN282" s="31">
        <v>14</v>
      </c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</row>
    <row r="283" spans="1:61" x14ac:dyDescent="0.2">
      <c r="A283" s="120" t="s">
        <v>71</v>
      </c>
      <c r="B283" s="45" t="s">
        <v>138</v>
      </c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46"/>
      <c r="AL283" s="31"/>
      <c r="AM283" s="31"/>
      <c r="AN283" s="31">
        <v>14</v>
      </c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</row>
    <row r="284" spans="1:61" x14ac:dyDescent="0.2">
      <c r="A284" s="110" t="s">
        <v>92</v>
      </c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46">
        <f>SUM(B284:AJ284)</f>
        <v>0</v>
      </c>
      <c r="AL284" s="31"/>
      <c r="AM284" s="31"/>
      <c r="AN284" s="31">
        <v>64</v>
      </c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</row>
    <row r="285" spans="1:61" x14ac:dyDescent="0.2">
      <c r="A285" s="110" t="s">
        <v>93</v>
      </c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46">
        <f>SUM(B285:AJ285)</f>
        <v>0</v>
      </c>
      <c r="AL285" s="31"/>
      <c r="AM285" s="31"/>
      <c r="AN285" s="31">
        <v>80</v>
      </c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</row>
    <row r="286" spans="1:61" x14ac:dyDescent="0.2">
      <c r="A286" s="110" t="s">
        <v>1</v>
      </c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/>
      <c r="AG286" s="153"/>
      <c r="AH286" s="153"/>
      <c r="AI286" s="153"/>
      <c r="AJ286" s="153"/>
      <c r="AK286" s="46">
        <f>SUM(B286:AJ286)</f>
        <v>0</v>
      </c>
      <c r="AL286" s="31"/>
      <c r="AM286" s="31"/>
      <c r="AN286" s="31">
        <v>28</v>
      </c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</row>
    <row r="287" spans="1:61" x14ac:dyDescent="0.2">
      <c r="A287" s="154" t="s">
        <v>7</v>
      </c>
      <c r="B287" s="155">
        <f t="shared" ref="B287:K287" si="63">B284+B285+B286</f>
        <v>0</v>
      </c>
      <c r="C287" s="155">
        <f t="shared" si="63"/>
        <v>0</v>
      </c>
      <c r="D287" s="155">
        <f t="shared" si="63"/>
        <v>0</v>
      </c>
      <c r="E287" s="155">
        <f t="shared" si="63"/>
        <v>0</v>
      </c>
      <c r="F287" s="155">
        <f t="shared" si="63"/>
        <v>0</v>
      </c>
      <c r="G287" s="155">
        <f t="shared" si="63"/>
        <v>0</v>
      </c>
      <c r="H287" s="155">
        <f t="shared" si="63"/>
        <v>0</v>
      </c>
      <c r="I287" s="155">
        <f t="shared" si="63"/>
        <v>0</v>
      </c>
      <c r="J287" s="155">
        <f t="shared" si="63"/>
        <v>0</v>
      </c>
      <c r="K287" s="156">
        <f t="shared" si="63"/>
        <v>0</v>
      </c>
      <c r="L287" s="155">
        <f t="shared" ref="L287:AK287" si="64">L284+L285+L286</f>
        <v>0</v>
      </c>
      <c r="M287" s="156">
        <f t="shared" si="64"/>
        <v>0</v>
      </c>
      <c r="N287" s="156">
        <f t="shared" si="64"/>
        <v>0</v>
      </c>
      <c r="O287" s="156">
        <f t="shared" si="64"/>
        <v>0</v>
      </c>
      <c r="P287" s="156">
        <f t="shared" si="64"/>
        <v>0</v>
      </c>
      <c r="Q287" s="156">
        <f t="shared" si="64"/>
        <v>0</v>
      </c>
      <c r="R287" s="156">
        <f t="shared" si="64"/>
        <v>0</v>
      </c>
      <c r="S287" s="156">
        <f t="shared" si="64"/>
        <v>0</v>
      </c>
      <c r="T287" s="156">
        <f t="shared" si="64"/>
        <v>0</v>
      </c>
      <c r="U287" s="156">
        <f t="shared" si="64"/>
        <v>0</v>
      </c>
      <c r="V287" s="156">
        <f t="shared" si="64"/>
        <v>0</v>
      </c>
      <c r="W287" s="156">
        <f t="shared" si="64"/>
        <v>0</v>
      </c>
      <c r="X287" s="156">
        <f t="shared" si="64"/>
        <v>0</v>
      </c>
      <c r="Y287" s="156">
        <f t="shared" si="64"/>
        <v>0</v>
      </c>
      <c r="Z287" s="156">
        <f t="shared" si="64"/>
        <v>0</v>
      </c>
      <c r="AA287" s="156">
        <f t="shared" si="64"/>
        <v>0</v>
      </c>
      <c r="AB287" s="156">
        <f t="shared" si="64"/>
        <v>0</v>
      </c>
      <c r="AC287" s="156">
        <f t="shared" si="64"/>
        <v>0</v>
      </c>
      <c r="AD287" s="156">
        <f t="shared" si="64"/>
        <v>0</v>
      </c>
      <c r="AE287" s="156">
        <f t="shared" si="64"/>
        <v>0</v>
      </c>
      <c r="AF287" s="156">
        <f t="shared" si="64"/>
        <v>0</v>
      </c>
      <c r="AG287" s="156">
        <f t="shared" si="64"/>
        <v>0</v>
      </c>
      <c r="AH287" s="156">
        <f t="shared" si="64"/>
        <v>0</v>
      </c>
      <c r="AI287" s="156">
        <f t="shared" si="64"/>
        <v>0</v>
      </c>
      <c r="AJ287" s="156">
        <f t="shared" si="64"/>
        <v>0</v>
      </c>
      <c r="AK287" s="157">
        <f t="shared" si="64"/>
        <v>0</v>
      </c>
      <c r="AL287" s="31"/>
      <c r="AM287" s="31"/>
      <c r="AN287" s="31">
        <v>32</v>
      </c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</row>
    <row r="288" spans="1:61" x14ac:dyDescent="0.2">
      <c r="A288" s="120" t="s">
        <v>72</v>
      </c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46"/>
      <c r="AL288" s="31"/>
      <c r="AM288" s="31"/>
      <c r="AN288" s="31">
        <v>11</v>
      </c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</row>
    <row r="289" spans="1:61" x14ac:dyDescent="0.2">
      <c r="A289" s="110" t="s">
        <v>92</v>
      </c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46">
        <f>SUM(B289:AJ289)</f>
        <v>0</v>
      </c>
      <c r="AL289" s="31"/>
      <c r="AM289" s="31"/>
      <c r="AN289" s="31">
        <v>476</v>
      </c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</row>
    <row r="290" spans="1:61" x14ac:dyDescent="0.2">
      <c r="A290" s="110" t="s">
        <v>93</v>
      </c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46">
        <f>SUM(B290:AJ290)</f>
        <v>0</v>
      </c>
      <c r="AL290" s="31"/>
      <c r="AM290" s="31"/>
      <c r="AN290" s="31">
        <v>390</v>
      </c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</row>
    <row r="291" spans="1:61" x14ac:dyDescent="0.2">
      <c r="A291" s="110" t="s">
        <v>1</v>
      </c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153"/>
      <c r="Q291" s="44"/>
      <c r="R291" s="44"/>
      <c r="S291" s="44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44"/>
      <c r="AD291" s="153"/>
      <c r="AE291" s="153"/>
      <c r="AF291" s="153"/>
      <c r="AG291" s="153"/>
      <c r="AH291" s="153"/>
      <c r="AI291" s="153"/>
      <c r="AJ291" s="153"/>
      <c r="AK291" s="46">
        <f>SUM(B291:AJ291)</f>
        <v>0</v>
      </c>
      <c r="AL291" s="31"/>
      <c r="AM291" s="31"/>
      <c r="AN291" s="31">
        <v>4</v>
      </c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</row>
    <row r="292" spans="1:61" x14ac:dyDescent="0.2">
      <c r="A292" s="154" t="s">
        <v>7</v>
      </c>
      <c r="B292" s="155">
        <f>SUM(B289:B291)</f>
        <v>0</v>
      </c>
      <c r="C292" s="155">
        <f t="shared" ref="C292:H292" si="65">SUM(C289:C291)</f>
        <v>0</v>
      </c>
      <c r="D292" s="155">
        <f t="shared" si="65"/>
        <v>0</v>
      </c>
      <c r="E292" s="155">
        <f t="shared" si="65"/>
        <v>0</v>
      </c>
      <c r="F292" s="155">
        <f t="shared" si="65"/>
        <v>0</v>
      </c>
      <c r="G292" s="155">
        <f t="shared" si="65"/>
        <v>0</v>
      </c>
      <c r="H292" s="155">
        <f t="shared" si="65"/>
        <v>0</v>
      </c>
      <c r="I292" s="156">
        <f>SUM(I289:I291)</f>
        <v>0</v>
      </c>
      <c r="J292" s="156">
        <f>SUM(J289:J291)</f>
        <v>0</v>
      </c>
      <c r="K292" s="156">
        <f>SUM(K289:K291)</f>
        <v>0</v>
      </c>
      <c r="L292" s="156">
        <f>SUM(L289:L291)</f>
        <v>0</v>
      </c>
      <c r="M292" s="156">
        <f t="shared" ref="M292:AJ292" si="66">M289+M290+M291</f>
        <v>0</v>
      </c>
      <c r="N292" s="156">
        <f t="shared" si="66"/>
        <v>0</v>
      </c>
      <c r="O292" s="156">
        <f t="shared" si="66"/>
        <v>0</v>
      </c>
      <c r="P292" s="156">
        <f t="shared" si="66"/>
        <v>0</v>
      </c>
      <c r="Q292" s="156">
        <f t="shared" si="66"/>
        <v>0</v>
      </c>
      <c r="R292" s="156">
        <f t="shared" si="66"/>
        <v>0</v>
      </c>
      <c r="S292" s="156">
        <f t="shared" si="66"/>
        <v>0</v>
      </c>
      <c r="T292" s="156">
        <f t="shared" si="66"/>
        <v>0</v>
      </c>
      <c r="U292" s="156">
        <f t="shared" si="66"/>
        <v>0</v>
      </c>
      <c r="V292" s="156">
        <f t="shared" si="66"/>
        <v>0</v>
      </c>
      <c r="W292" s="156">
        <f t="shared" si="66"/>
        <v>0</v>
      </c>
      <c r="X292" s="156">
        <f t="shared" si="66"/>
        <v>0</v>
      </c>
      <c r="Y292" s="156">
        <f t="shared" si="66"/>
        <v>0</v>
      </c>
      <c r="Z292" s="156">
        <f t="shared" si="66"/>
        <v>0</v>
      </c>
      <c r="AA292" s="156">
        <f t="shared" si="66"/>
        <v>0</v>
      </c>
      <c r="AB292" s="156">
        <f t="shared" si="66"/>
        <v>0</v>
      </c>
      <c r="AC292" s="156">
        <f t="shared" si="66"/>
        <v>0</v>
      </c>
      <c r="AD292" s="156">
        <f t="shared" si="66"/>
        <v>0</v>
      </c>
      <c r="AE292" s="156">
        <f t="shared" si="66"/>
        <v>0</v>
      </c>
      <c r="AF292" s="156">
        <f t="shared" si="66"/>
        <v>0</v>
      </c>
      <c r="AG292" s="156">
        <f t="shared" si="66"/>
        <v>0</v>
      </c>
      <c r="AH292" s="156">
        <f t="shared" si="66"/>
        <v>0</v>
      </c>
      <c r="AI292" s="156">
        <f t="shared" si="66"/>
        <v>0</v>
      </c>
      <c r="AJ292" s="156">
        <f t="shared" si="66"/>
        <v>0</v>
      </c>
      <c r="AK292" s="157">
        <f>AK290+AK289+AK291</f>
        <v>0</v>
      </c>
      <c r="AL292" s="31"/>
      <c r="AM292" s="31"/>
      <c r="AN292" s="31">
        <v>16</v>
      </c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</row>
    <row r="293" spans="1:61" x14ac:dyDescent="0.2">
      <c r="A293" s="120" t="s">
        <v>100</v>
      </c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46"/>
      <c r="AL293" s="31"/>
      <c r="AM293" s="31"/>
      <c r="AN293" s="31">
        <v>48</v>
      </c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</row>
    <row r="294" spans="1:61" x14ac:dyDescent="0.2">
      <c r="A294" s="110" t="s">
        <v>92</v>
      </c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46">
        <f>SUM(B294:AJ294)</f>
        <v>0</v>
      </c>
      <c r="AL294" s="31"/>
      <c r="AM294" s="31"/>
      <c r="AN294" s="31">
        <v>67</v>
      </c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</row>
    <row r="295" spans="1:61" x14ac:dyDescent="0.2">
      <c r="A295" s="110" t="s">
        <v>93</v>
      </c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153"/>
      <c r="Q295" s="44"/>
      <c r="R295" s="44"/>
      <c r="S295" s="44"/>
      <c r="T295" s="153"/>
      <c r="U295" s="44"/>
      <c r="V295" s="153"/>
      <c r="W295" s="44"/>
      <c r="X295" s="44"/>
      <c r="Y295" s="44"/>
      <c r="Z295" s="153"/>
      <c r="AA295" s="153"/>
      <c r="AB295" s="153"/>
      <c r="AC295" s="44"/>
      <c r="AD295" s="153"/>
      <c r="AE295" s="44"/>
      <c r="AF295" s="153"/>
      <c r="AG295" s="153"/>
      <c r="AH295" s="153"/>
      <c r="AI295" s="153"/>
      <c r="AJ295" s="153"/>
      <c r="AK295" s="46">
        <f>SUM(B295:AJ295)</f>
        <v>0</v>
      </c>
      <c r="AL295" s="31"/>
      <c r="AM295" s="31"/>
      <c r="AN295" s="31">
        <v>4701</v>
      </c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</row>
    <row r="296" spans="1:61" x14ac:dyDescent="0.2">
      <c r="A296" s="110" t="s">
        <v>1</v>
      </c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  <c r="AK296" s="46">
        <f>SUM(B296:AJ296)</f>
        <v>0</v>
      </c>
      <c r="AL296" s="31"/>
      <c r="AM296" s="31"/>
      <c r="AN296" s="31">
        <f>SUM(AN268:AN295)</f>
        <v>7134</v>
      </c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</row>
    <row r="297" spans="1:61" x14ac:dyDescent="0.2">
      <c r="A297" s="154" t="s">
        <v>7</v>
      </c>
      <c r="B297" s="155">
        <f t="shared" ref="B297:K297" si="67">SUM(B294:B296)</f>
        <v>0</v>
      </c>
      <c r="C297" s="155">
        <f t="shared" si="67"/>
        <v>0</v>
      </c>
      <c r="D297" s="155">
        <f t="shared" si="67"/>
        <v>0</v>
      </c>
      <c r="E297" s="155">
        <f t="shared" si="67"/>
        <v>0</v>
      </c>
      <c r="F297" s="155">
        <f t="shared" si="67"/>
        <v>0</v>
      </c>
      <c r="G297" s="155">
        <f t="shared" si="67"/>
        <v>0</v>
      </c>
      <c r="H297" s="155">
        <f t="shared" si="67"/>
        <v>0</v>
      </c>
      <c r="I297" s="155">
        <f t="shared" si="67"/>
        <v>0</v>
      </c>
      <c r="J297" s="155">
        <f t="shared" si="67"/>
        <v>0</v>
      </c>
      <c r="K297" s="156">
        <f t="shared" si="67"/>
        <v>0</v>
      </c>
      <c r="L297" s="155">
        <f t="shared" ref="L297:AJ297" si="68">SUM(L294:L296)</f>
        <v>0</v>
      </c>
      <c r="M297" s="156">
        <f t="shared" si="68"/>
        <v>0</v>
      </c>
      <c r="N297" s="156">
        <f t="shared" si="68"/>
        <v>0</v>
      </c>
      <c r="O297" s="156">
        <f t="shared" si="68"/>
        <v>0</v>
      </c>
      <c r="P297" s="156">
        <f t="shared" si="68"/>
        <v>0</v>
      </c>
      <c r="Q297" s="156">
        <f t="shared" si="68"/>
        <v>0</v>
      </c>
      <c r="R297" s="156">
        <f t="shared" si="68"/>
        <v>0</v>
      </c>
      <c r="S297" s="156">
        <f t="shared" si="68"/>
        <v>0</v>
      </c>
      <c r="T297" s="156">
        <f t="shared" si="68"/>
        <v>0</v>
      </c>
      <c r="U297" s="156">
        <f t="shared" si="68"/>
        <v>0</v>
      </c>
      <c r="V297" s="156">
        <f t="shared" si="68"/>
        <v>0</v>
      </c>
      <c r="W297" s="156">
        <f t="shared" si="68"/>
        <v>0</v>
      </c>
      <c r="X297" s="156">
        <f t="shared" si="68"/>
        <v>0</v>
      </c>
      <c r="Y297" s="156">
        <f t="shared" si="68"/>
        <v>0</v>
      </c>
      <c r="Z297" s="156">
        <f t="shared" si="68"/>
        <v>0</v>
      </c>
      <c r="AA297" s="156">
        <f t="shared" si="68"/>
        <v>0</v>
      </c>
      <c r="AB297" s="156">
        <f t="shared" si="68"/>
        <v>0</v>
      </c>
      <c r="AC297" s="156">
        <f t="shared" si="68"/>
        <v>0</v>
      </c>
      <c r="AD297" s="156">
        <f t="shared" si="68"/>
        <v>0</v>
      </c>
      <c r="AE297" s="156">
        <f t="shared" si="68"/>
        <v>0</v>
      </c>
      <c r="AF297" s="156">
        <f t="shared" si="68"/>
        <v>0</v>
      </c>
      <c r="AG297" s="156">
        <f t="shared" si="68"/>
        <v>0</v>
      </c>
      <c r="AH297" s="156">
        <f t="shared" si="68"/>
        <v>0</v>
      </c>
      <c r="AI297" s="156">
        <f t="shared" si="68"/>
        <v>0</v>
      </c>
      <c r="AJ297" s="156">
        <f t="shared" si="68"/>
        <v>0</v>
      </c>
      <c r="AK297" s="157">
        <f>SUM(AK294:AK296)</f>
        <v>0</v>
      </c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</row>
    <row r="298" spans="1:61" x14ac:dyDescent="0.2">
      <c r="A298" s="120" t="s">
        <v>74</v>
      </c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46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</row>
    <row r="299" spans="1:61" x14ac:dyDescent="0.2">
      <c r="A299" s="110" t="s">
        <v>92</v>
      </c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  <c r="AK299" s="46">
        <f>SUM(B299:AJ299)</f>
        <v>0</v>
      </c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</row>
    <row r="300" spans="1:61" x14ac:dyDescent="0.2">
      <c r="A300" s="110" t="s">
        <v>93</v>
      </c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328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6">
        <f>SUM(B300:AJ300)</f>
        <v>0</v>
      </c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</row>
    <row r="301" spans="1:61" x14ac:dyDescent="0.2">
      <c r="A301" s="110" t="s">
        <v>1</v>
      </c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/>
      <c r="AG301" s="153"/>
      <c r="AH301" s="153"/>
      <c r="AI301" s="153"/>
      <c r="AJ301" s="153"/>
      <c r="AK301" s="46">
        <f>SUM(B301:AJ301)</f>
        <v>0</v>
      </c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</row>
    <row r="302" spans="1:61" x14ac:dyDescent="0.2">
      <c r="A302" s="154" t="s">
        <v>7</v>
      </c>
      <c r="B302" s="155">
        <f>SUM(B299:B301)</f>
        <v>0</v>
      </c>
      <c r="C302" s="155">
        <f t="shared" ref="C302:H302" si="69">SUM(C299:C301)</f>
        <v>0</v>
      </c>
      <c r="D302" s="155">
        <f t="shared" si="69"/>
        <v>0</v>
      </c>
      <c r="E302" s="155">
        <f t="shared" si="69"/>
        <v>0</v>
      </c>
      <c r="F302" s="155">
        <f t="shared" si="69"/>
        <v>0</v>
      </c>
      <c r="G302" s="155">
        <f t="shared" si="69"/>
        <v>0</v>
      </c>
      <c r="H302" s="155">
        <f t="shared" si="69"/>
        <v>0</v>
      </c>
      <c r="I302" s="156">
        <f>SUM(I299:I301)</f>
        <v>0</v>
      </c>
      <c r="J302" s="156">
        <f>SUM(J299:J301)</f>
        <v>0</v>
      </c>
      <c r="K302" s="156">
        <f>SUM(K299:K301)</f>
        <v>0</v>
      </c>
      <c r="L302" s="156">
        <f>SUM(L299:L301)</f>
        <v>0</v>
      </c>
      <c r="M302" s="156">
        <f t="shared" ref="M302:AJ302" si="70">M299+M300+M301</f>
        <v>0</v>
      </c>
      <c r="N302" s="156">
        <f t="shared" si="70"/>
        <v>0</v>
      </c>
      <c r="O302" s="156">
        <f t="shared" si="70"/>
        <v>0</v>
      </c>
      <c r="P302" s="156">
        <f t="shared" si="70"/>
        <v>0</v>
      </c>
      <c r="Q302" s="156">
        <f t="shared" si="70"/>
        <v>0</v>
      </c>
      <c r="R302" s="156">
        <f t="shared" si="70"/>
        <v>0</v>
      </c>
      <c r="S302" s="156">
        <f t="shared" si="70"/>
        <v>0</v>
      </c>
      <c r="T302" s="156">
        <f t="shared" si="70"/>
        <v>0</v>
      </c>
      <c r="U302" s="156">
        <f t="shared" si="70"/>
        <v>0</v>
      </c>
      <c r="V302" s="156">
        <f t="shared" si="70"/>
        <v>0</v>
      </c>
      <c r="W302" s="156">
        <f t="shared" si="70"/>
        <v>0</v>
      </c>
      <c r="X302" s="156">
        <f t="shared" si="70"/>
        <v>0</v>
      </c>
      <c r="Y302" s="156">
        <f t="shared" si="70"/>
        <v>0</v>
      </c>
      <c r="Z302" s="156">
        <f t="shared" si="70"/>
        <v>0</v>
      </c>
      <c r="AA302" s="156">
        <f t="shared" si="70"/>
        <v>0</v>
      </c>
      <c r="AB302" s="156">
        <f t="shared" si="70"/>
        <v>0</v>
      </c>
      <c r="AC302" s="156">
        <f t="shared" si="70"/>
        <v>0</v>
      </c>
      <c r="AD302" s="156">
        <f t="shared" si="70"/>
        <v>0</v>
      </c>
      <c r="AE302" s="156">
        <f t="shared" si="70"/>
        <v>0</v>
      </c>
      <c r="AF302" s="156">
        <f t="shared" si="70"/>
        <v>0</v>
      </c>
      <c r="AG302" s="156">
        <f t="shared" si="70"/>
        <v>0</v>
      </c>
      <c r="AH302" s="156">
        <f t="shared" si="70"/>
        <v>0</v>
      </c>
      <c r="AI302" s="156">
        <f t="shared" si="70"/>
        <v>0</v>
      </c>
      <c r="AJ302" s="156">
        <f t="shared" si="70"/>
        <v>0</v>
      </c>
      <c r="AK302" s="157">
        <f>SUM(AK299:AK301)</f>
        <v>0</v>
      </c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</row>
    <row r="303" spans="1:61" x14ac:dyDescent="0.2">
      <c r="A303" s="120" t="s">
        <v>75</v>
      </c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46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</row>
    <row r="304" spans="1:61" x14ac:dyDescent="0.2">
      <c r="A304" s="110" t="s">
        <v>92</v>
      </c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  <c r="AA304" s="153"/>
      <c r="AB304" s="153"/>
      <c r="AC304" s="153"/>
      <c r="AD304" s="153"/>
      <c r="AE304" s="153"/>
      <c r="AF304" s="153"/>
      <c r="AG304" s="153"/>
      <c r="AH304" s="153"/>
      <c r="AI304" s="153"/>
      <c r="AJ304" s="153"/>
      <c r="AK304" s="46">
        <f>SUM(B304:AJ304)</f>
        <v>0</v>
      </c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</row>
    <row r="305" spans="1:61" x14ac:dyDescent="0.2">
      <c r="A305" s="110" t="s">
        <v>93</v>
      </c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/>
      <c r="AF305" s="153"/>
      <c r="AG305" s="153"/>
      <c r="AH305" s="153"/>
      <c r="AI305" s="153"/>
      <c r="AJ305" s="153"/>
      <c r="AK305" s="46">
        <f>+SUM(B305:AJ305)</f>
        <v>0</v>
      </c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</row>
    <row r="306" spans="1:61" x14ac:dyDescent="0.2">
      <c r="A306" s="110" t="s">
        <v>1</v>
      </c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/>
      <c r="AG306" s="153"/>
      <c r="AH306" s="153"/>
      <c r="AI306" s="153"/>
      <c r="AJ306" s="153"/>
      <c r="AK306" s="46">
        <f>SUM(B306:AJ306)</f>
        <v>0</v>
      </c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</row>
    <row r="307" spans="1:61" x14ac:dyDescent="0.2">
      <c r="A307" s="154" t="s">
        <v>7</v>
      </c>
      <c r="B307" s="155">
        <f>SUM(B304:B306)</f>
        <v>0</v>
      </c>
      <c r="C307" s="155">
        <f t="shared" ref="C307:H307" si="71">SUM(C304:C306)</f>
        <v>0</v>
      </c>
      <c r="D307" s="155">
        <f t="shared" si="71"/>
        <v>0</v>
      </c>
      <c r="E307" s="155">
        <f t="shared" si="71"/>
        <v>0</v>
      </c>
      <c r="F307" s="155">
        <f t="shared" si="71"/>
        <v>0</v>
      </c>
      <c r="G307" s="155">
        <f t="shared" si="71"/>
        <v>0</v>
      </c>
      <c r="H307" s="155">
        <f t="shared" si="71"/>
        <v>0</v>
      </c>
      <c r="I307" s="156">
        <f>SUM(I304:I306)</f>
        <v>0</v>
      </c>
      <c r="J307" s="156">
        <f>SUM(J304:J306)</f>
        <v>0</v>
      </c>
      <c r="K307" s="156">
        <f>SUM(K304:K306)</f>
        <v>0</v>
      </c>
      <c r="L307" s="156">
        <f>SUM(L304:L306)</f>
        <v>0</v>
      </c>
      <c r="M307" s="156">
        <f t="shared" ref="M307:AJ307" si="72">M304+M305+M306</f>
        <v>0</v>
      </c>
      <c r="N307" s="156">
        <f t="shared" si="72"/>
        <v>0</v>
      </c>
      <c r="O307" s="156">
        <f t="shared" si="72"/>
        <v>0</v>
      </c>
      <c r="P307" s="156">
        <f t="shared" si="72"/>
        <v>0</v>
      </c>
      <c r="Q307" s="156">
        <f t="shared" si="72"/>
        <v>0</v>
      </c>
      <c r="R307" s="156">
        <f t="shared" si="72"/>
        <v>0</v>
      </c>
      <c r="S307" s="156">
        <f t="shared" si="72"/>
        <v>0</v>
      </c>
      <c r="T307" s="156">
        <f t="shared" si="72"/>
        <v>0</v>
      </c>
      <c r="U307" s="156">
        <f t="shared" si="72"/>
        <v>0</v>
      </c>
      <c r="V307" s="156">
        <f t="shared" si="72"/>
        <v>0</v>
      </c>
      <c r="W307" s="156">
        <f t="shared" si="72"/>
        <v>0</v>
      </c>
      <c r="X307" s="156">
        <f t="shared" si="72"/>
        <v>0</v>
      </c>
      <c r="Y307" s="156">
        <f t="shared" si="72"/>
        <v>0</v>
      </c>
      <c r="Z307" s="156">
        <f t="shared" si="72"/>
        <v>0</v>
      </c>
      <c r="AA307" s="156">
        <f t="shared" si="72"/>
        <v>0</v>
      </c>
      <c r="AB307" s="156">
        <f t="shared" si="72"/>
        <v>0</v>
      </c>
      <c r="AC307" s="156">
        <f t="shared" si="72"/>
        <v>0</v>
      </c>
      <c r="AD307" s="156">
        <f t="shared" si="72"/>
        <v>0</v>
      </c>
      <c r="AE307" s="156">
        <f t="shared" si="72"/>
        <v>0</v>
      </c>
      <c r="AF307" s="156">
        <f t="shared" si="72"/>
        <v>0</v>
      </c>
      <c r="AG307" s="156">
        <f t="shared" si="72"/>
        <v>0</v>
      </c>
      <c r="AH307" s="156">
        <f t="shared" si="72"/>
        <v>0</v>
      </c>
      <c r="AI307" s="156">
        <f t="shared" si="72"/>
        <v>0</v>
      </c>
      <c r="AJ307" s="156">
        <f t="shared" si="72"/>
        <v>0</v>
      </c>
      <c r="AK307" s="157">
        <f>SUM(AK304:AK306)</f>
        <v>0</v>
      </c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</row>
    <row r="308" spans="1:61" x14ac:dyDescent="0.2">
      <c r="A308" s="120" t="s">
        <v>76</v>
      </c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46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</row>
    <row r="309" spans="1:61" x14ac:dyDescent="0.2">
      <c r="A309" s="110" t="s">
        <v>92</v>
      </c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/>
      <c r="AG309" s="153"/>
      <c r="AH309" s="153"/>
      <c r="AI309" s="153"/>
      <c r="AJ309" s="153"/>
      <c r="AK309" s="46">
        <f>SUM(B309:AJ309)</f>
        <v>0</v>
      </c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</row>
    <row r="310" spans="1:61" x14ac:dyDescent="0.2">
      <c r="A310" s="110" t="s">
        <v>93</v>
      </c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/>
      <c r="AG310" s="153"/>
      <c r="AH310" s="153"/>
      <c r="AI310" s="153"/>
      <c r="AJ310" s="153"/>
      <c r="AK310" s="46">
        <f>SUM(B310:AJ310)</f>
        <v>0</v>
      </c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</row>
    <row r="311" spans="1:61" x14ac:dyDescent="0.2">
      <c r="A311" s="110" t="s">
        <v>1</v>
      </c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3"/>
      <c r="AK311" s="46">
        <f>SUM(B311:AJ311)</f>
        <v>0</v>
      </c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</row>
    <row r="312" spans="1:61" ht="15.75" thickBot="1" x14ac:dyDescent="0.25">
      <c r="A312" s="160" t="s">
        <v>7</v>
      </c>
      <c r="B312" s="155">
        <f>SUM(B309:B311)</f>
        <v>0</v>
      </c>
      <c r="C312" s="155">
        <f t="shared" ref="C312:H312" si="73">SUM(C309:C311)</f>
        <v>0</v>
      </c>
      <c r="D312" s="155">
        <f t="shared" si="73"/>
        <v>0</v>
      </c>
      <c r="E312" s="155">
        <f t="shared" si="73"/>
        <v>0</v>
      </c>
      <c r="F312" s="155">
        <f t="shared" si="73"/>
        <v>0</v>
      </c>
      <c r="G312" s="155">
        <f t="shared" si="73"/>
        <v>0</v>
      </c>
      <c r="H312" s="155">
        <f t="shared" si="73"/>
        <v>0</v>
      </c>
      <c r="I312" s="156">
        <f>SUM(I309:I311)</f>
        <v>0</v>
      </c>
      <c r="J312" s="156">
        <f>SUM(J309:J311)</f>
        <v>0</v>
      </c>
      <c r="K312" s="156">
        <f>SUM(K309:K311)</f>
        <v>0</v>
      </c>
      <c r="L312" s="156">
        <f>SUM(L309:L311)</f>
        <v>0</v>
      </c>
      <c r="M312" s="156">
        <f t="shared" ref="M312:AJ312" si="74">M309+M310+M311</f>
        <v>0</v>
      </c>
      <c r="N312" s="156">
        <f t="shared" si="74"/>
        <v>0</v>
      </c>
      <c r="O312" s="156">
        <f t="shared" si="74"/>
        <v>0</v>
      </c>
      <c r="P312" s="156">
        <f t="shared" si="74"/>
        <v>0</v>
      </c>
      <c r="Q312" s="156">
        <f t="shared" si="74"/>
        <v>0</v>
      </c>
      <c r="R312" s="156">
        <f t="shared" si="74"/>
        <v>0</v>
      </c>
      <c r="S312" s="156">
        <f t="shared" si="74"/>
        <v>0</v>
      </c>
      <c r="T312" s="156">
        <f t="shared" si="74"/>
        <v>0</v>
      </c>
      <c r="U312" s="156">
        <f t="shared" si="74"/>
        <v>0</v>
      </c>
      <c r="V312" s="156">
        <f t="shared" si="74"/>
        <v>0</v>
      </c>
      <c r="W312" s="156">
        <f t="shared" si="74"/>
        <v>0</v>
      </c>
      <c r="X312" s="156">
        <f t="shared" si="74"/>
        <v>0</v>
      </c>
      <c r="Y312" s="156">
        <f t="shared" si="74"/>
        <v>0</v>
      </c>
      <c r="Z312" s="156">
        <f t="shared" si="74"/>
        <v>0</v>
      </c>
      <c r="AA312" s="156">
        <f t="shared" si="74"/>
        <v>0</v>
      </c>
      <c r="AB312" s="156">
        <f t="shared" si="74"/>
        <v>0</v>
      </c>
      <c r="AC312" s="156">
        <f t="shared" si="74"/>
        <v>0</v>
      </c>
      <c r="AD312" s="156">
        <f t="shared" si="74"/>
        <v>0</v>
      </c>
      <c r="AE312" s="156">
        <f t="shared" si="74"/>
        <v>0</v>
      </c>
      <c r="AF312" s="156">
        <f t="shared" si="74"/>
        <v>0</v>
      </c>
      <c r="AG312" s="156">
        <f t="shared" si="74"/>
        <v>0</v>
      </c>
      <c r="AH312" s="156">
        <f t="shared" si="74"/>
        <v>0</v>
      </c>
      <c r="AI312" s="156">
        <f t="shared" si="74"/>
        <v>0</v>
      </c>
      <c r="AJ312" s="156">
        <f t="shared" si="74"/>
        <v>0</v>
      </c>
      <c r="AK312" s="161">
        <f>SUM(AK309:AK311)</f>
        <v>0</v>
      </c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</row>
    <row r="313" spans="1:61" ht="15.75" thickBot="1" x14ac:dyDescent="0.25">
      <c r="A313" s="172"/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73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  <c r="AB313" s="174"/>
      <c r="AC313" s="174"/>
      <c r="AD313" s="174"/>
      <c r="AE313" s="174"/>
      <c r="AF313" s="174"/>
      <c r="AG313" s="174"/>
      <c r="AH313" s="174"/>
      <c r="AI313" s="174"/>
      <c r="AJ313" s="174"/>
      <c r="AK313" s="172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</row>
    <row r="314" spans="1:61" ht="28.5" customHeight="1" thickBot="1" x14ac:dyDescent="0.25">
      <c r="A314" s="165" t="s">
        <v>141</v>
      </c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7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</row>
    <row r="315" spans="1:61" s="149" customFormat="1" ht="15.75" thickBot="1" x14ac:dyDescent="0.25">
      <c r="A315" s="146"/>
      <c r="B315" s="175" t="s">
        <v>2</v>
      </c>
      <c r="C315" s="175" t="s">
        <v>104</v>
      </c>
      <c r="D315" s="175" t="s">
        <v>140</v>
      </c>
      <c r="E315" s="175" t="s">
        <v>106</v>
      </c>
      <c r="F315" s="175" t="s">
        <v>107</v>
      </c>
      <c r="G315" s="175" t="s">
        <v>142</v>
      </c>
      <c r="H315" s="175" t="s">
        <v>109</v>
      </c>
      <c r="I315" s="147" t="s">
        <v>110</v>
      </c>
      <c r="J315" s="147" t="s">
        <v>111</v>
      </c>
      <c r="K315" s="147" t="s">
        <v>112</v>
      </c>
      <c r="L315" s="175" t="s">
        <v>113</v>
      </c>
      <c r="M315" s="175" t="s">
        <v>114</v>
      </c>
      <c r="N315" s="175" t="s">
        <v>115</v>
      </c>
      <c r="O315" s="175" t="s">
        <v>116</v>
      </c>
      <c r="P315" s="175" t="s">
        <v>117</v>
      </c>
      <c r="Q315" s="175" t="s">
        <v>118</v>
      </c>
      <c r="R315" s="175" t="s">
        <v>119</v>
      </c>
      <c r="S315" s="175" t="s">
        <v>120</v>
      </c>
      <c r="T315" s="175" t="s">
        <v>121</v>
      </c>
      <c r="U315" s="175" t="s">
        <v>122</v>
      </c>
      <c r="V315" s="175" t="s">
        <v>123</v>
      </c>
      <c r="W315" s="175" t="s">
        <v>124</v>
      </c>
      <c r="X315" s="175" t="s">
        <v>125</v>
      </c>
      <c r="Y315" s="175" t="s">
        <v>126</v>
      </c>
      <c r="Z315" s="175" t="s">
        <v>127</v>
      </c>
      <c r="AA315" s="175" t="s">
        <v>128</v>
      </c>
      <c r="AB315" s="175" t="s">
        <v>129</v>
      </c>
      <c r="AC315" s="175" t="s">
        <v>130</v>
      </c>
      <c r="AD315" s="175" t="s">
        <v>131</v>
      </c>
      <c r="AE315" s="175" t="s">
        <v>132</v>
      </c>
      <c r="AF315" s="175" t="s">
        <v>133</v>
      </c>
      <c r="AG315" s="175" t="s">
        <v>134</v>
      </c>
      <c r="AH315" s="175" t="s">
        <v>135</v>
      </c>
      <c r="AI315" s="175" t="s">
        <v>136</v>
      </c>
      <c r="AJ315" s="175" t="s">
        <v>137</v>
      </c>
      <c r="AK315" s="148" t="s">
        <v>0</v>
      </c>
    </row>
    <row r="316" spans="1:61" x14ac:dyDescent="0.2">
      <c r="A316" s="104" t="s">
        <v>65</v>
      </c>
      <c r="B316" s="176"/>
      <c r="C316" s="176"/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8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</row>
    <row r="317" spans="1:61" x14ac:dyDescent="0.2">
      <c r="A317" s="110" t="s">
        <v>92</v>
      </c>
      <c r="B317" s="179">
        <f t="shared" ref="B317:AJ319" si="75">B190-B254</f>
        <v>418</v>
      </c>
      <c r="C317" s="179">
        <f t="shared" si="75"/>
        <v>49</v>
      </c>
      <c r="D317" s="179">
        <f t="shared" si="75"/>
        <v>34</v>
      </c>
      <c r="E317" s="179">
        <f t="shared" si="75"/>
        <v>0</v>
      </c>
      <c r="F317" s="179">
        <f t="shared" si="75"/>
        <v>2</v>
      </c>
      <c r="G317" s="179">
        <f t="shared" si="75"/>
        <v>1</v>
      </c>
      <c r="H317" s="179">
        <f t="shared" si="75"/>
        <v>1</v>
      </c>
      <c r="I317" s="179">
        <f t="shared" si="75"/>
        <v>0</v>
      </c>
      <c r="J317" s="179">
        <f t="shared" si="75"/>
        <v>8</v>
      </c>
      <c r="K317" s="179">
        <f t="shared" si="75"/>
        <v>0</v>
      </c>
      <c r="L317" s="179">
        <f t="shared" si="75"/>
        <v>16</v>
      </c>
      <c r="M317" s="179">
        <f t="shared" si="75"/>
        <v>1</v>
      </c>
      <c r="N317" s="179">
        <f t="shared" si="75"/>
        <v>0</v>
      </c>
      <c r="O317" s="179">
        <f t="shared" si="75"/>
        <v>0</v>
      </c>
      <c r="P317" s="179">
        <f t="shared" si="75"/>
        <v>3</v>
      </c>
      <c r="Q317" s="179">
        <f t="shared" si="75"/>
        <v>0</v>
      </c>
      <c r="R317" s="179">
        <f t="shared" si="75"/>
        <v>0</v>
      </c>
      <c r="S317" s="179">
        <f t="shared" si="75"/>
        <v>0</v>
      </c>
      <c r="T317" s="179">
        <f t="shared" si="75"/>
        <v>4</v>
      </c>
      <c r="U317" s="179">
        <f t="shared" si="75"/>
        <v>4</v>
      </c>
      <c r="V317" s="179">
        <f t="shared" si="75"/>
        <v>2</v>
      </c>
      <c r="W317" s="179">
        <f t="shared" si="75"/>
        <v>5</v>
      </c>
      <c r="X317" s="179">
        <f t="shared" si="75"/>
        <v>9</v>
      </c>
      <c r="Y317" s="179">
        <f t="shared" si="75"/>
        <v>1</v>
      </c>
      <c r="Z317" s="179">
        <f t="shared" si="75"/>
        <v>3</v>
      </c>
      <c r="AA317" s="179">
        <f t="shared" si="75"/>
        <v>4</v>
      </c>
      <c r="AB317" s="179">
        <f t="shared" si="75"/>
        <v>53</v>
      </c>
      <c r="AC317" s="179">
        <f t="shared" si="75"/>
        <v>1</v>
      </c>
      <c r="AD317" s="179">
        <f t="shared" si="75"/>
        <v>16</v>
      </c>
      <c r="AE317" s="179">
        <f t="shared" si="75"/>
        <v>1</v>
      </c>
      <c r="AF317" s="179">
        <f t="shared" si="75"/>
        <v>0</v>
      </c>
      <c r="AG317" s="179">
        <f t="shared" si="75"/>
        <v>2</v>
      </c>
      <c r="AH317" s="179">
        <f t="shared" si="75"/>
        <v>2</v>
      </c>
      <c r="AI317" s="179">
        <f t="shared" si="75"/>
        <v>37</v>
      </c>
      <c r="AJ317" s="179">
        <f t="shared" si="75"/>
        <v>8</v>
      </c>
      <c r="AK317" s="180">
        <f>AK190-AK254</f>
        <v>685</v>
      </c>
      <c r="AL317" s="181"/>
      <c r="AM317" s="18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</row>
    <row r="318" spans="1:61" x14ac:dyDescent="0.2">
      <c r="A318" s="110" t="s">
        <v>93</v>
      </c>
      <c r="B318" s="179">
        <f t="shared" si="75"/>
        <v>1022</v>
      </c>
      <c r="C318" s="179">
        <f t="shared" si="75"/>
        <v>115</v>
      </c>
      <c r="D318" s="179">
        <f t="shared" si="75"/>
        <v>121</v>
      </c>
      <c r="E318" s="179">
        <f t="shared" si="75"/>
        <v>21</v>
      </c>
      <c r="F318" s="179">
        <f t="shared" si="75"/>
        <v>8</v>
      </c>
      <c r="G318" s="179">
        <f t="shared" si="75"/>
        <v>0</v>
      </c>
      <c r="H318" s="179">
        <f t="shared" si="75"/>
        <v>0</v>
      </c>
      <c r="I318" s="179">
        <f t="shared" si="75"/>
        <v>0</v>
      </c>
      <c r="J318" s="179">
        <f t="shared" si="75"/>
        <v>47</v>
      </c>
      <c r="K318" s="179">
        <f t="shared" si="75"/>
        <v>0</v>
      </c>
      <c r="L318" s="179">
        <f t="shared" si="75"/>
        <v>49</v>
      </c>
      <c r="M318" s="179">
        <f t="shared" si="75"/>
        <v>2</v>
      </c>
      <c r="N318" s="179">
        <f t="shared" si="75"/>
        <v>5</v>
      </c>
      <c r="O318" s="179">
        <f t="shared" si="75"/>
        <v>1</v>
      </c>
      <c r="P318" s="179">
        <f t="shared" si="75"/>
        <v>23</v>
      </c>
      <c r="Q318" s="179">
        <f t="shared" si="75"/>
        <v>0</v>
      </c>
      <c r="R318" s="179">
        <f t="shared" si="75"/>
        <v>0</v>
      </c>
      <c r="S318" s="179">
        <f t="shared" si="75"/>
        <v>0</v>
      </c>
      <c r="T318" s="179">
        <f t="shared" si="75"/>
        <v>13</v>
      </c>
      <c r="U318" s="179">
        <f t="shared" si="75"/>
        <v>8</v>
      </c>
      <c r="V318" s="179">
        <f t="shared" si="75"/>
        <v>22</v>
      </c>
      <c r="W318" s="179">
        <f t="shared" si="75"/>
        <v>17</v>
      </c>
      <c r="X318" s="179">
        <f t="shared" si="75"/>
        <v>28</v>
      </c>
      <c r="Y318" s="179">
        <f t="shared" si="75"/>
        <v>10</v>
      </c>
      <c r="Z318" s="179">
        <f t="shared" si="75"/>
        <v>51</v>
      </c>
      <c r="AA318" s="179">
        <f t="shared" si="75"/>
        <v>16</v>
      </c>
      <c r="AB318" s="179">
        <f t="shared" si="75"/>
        <v>12</v>
      </c>
      <c r="AC318" s="179">
        <f t="shared" si="75"/>
        <v>0</v>
      </c>
      <c r="AD318" s="179">
        <f t="shared" si="75"/>
        <v>10</v>
      </c>
      <c r="AE318" s="179">
        <f t="shared" si="75"/>
        <v>1</v>
      </c>
      <c r="AF318" s="179">
        <f t="shared" si="75"/>
        <v>1</v>
      </c>
      <c r="AG318" s="179">
        <f t="shared" si="75"/>
        <v>185</v>
      </c>
      <c r="AH318" s="179">
        <f t="shared" si="75"/>
        <v>134</v>
      </c>
      <c r="AI318" s="179">
        <f t="shared" si="75"/>
        <v>39</v>
      </c>
      <c r="AJ318" s="179">
        <f t="shared" si="75"/>
        <v>40</v>
      </c>
      <c r="AK318" s="180">
        <f>AK191-AK255</f>
        <v>2001</v>
      </c>
      <c r="AL318" s="181"/>
      <c r="AM318" s="18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</row>
    <row r="319" spans="1:61" x14ac:dyDescent="0.2">
      <c r="A319" s="110" t="s">
        <v>1</v>
      </c>
      <c r="B319" s="179">
        <f t="shared" si="75"/>
        <v>63</v>
      </c>
      <c r="C319" s="179">
        <f t="shared" si="75"/>
        <v>6</v>
      </c>
      <c r="D319" s="179">
        <f t="shared" si="75"/>
        <v>0</v>
      </c>
      <c r="E319" s="179">
        <f t="shared" si="75"/>
        <v>8</v>
      </c>
      <c r="F319" s="179">
        <f t="shared" si="75"/>
        <v>12</v>
      </c>
      <c r="G319" s="179">
        <f t="shared" si="75"/>
        <v>3</v>
      </c>
      <c r="H319" s="179">
        <f t="shared" si="75"/>
        <v>0</v>
      </c>
      <c r="I319" s="179">
        <f t="shared" si="75"/>
        <v>0</v>
      </c>
      <c r="J319" s="179">
        <f t="shared" si="75"/>
        <v>2</v>
      </c>
      <c r="K319" s="179">
        <f t="shared" si="75"/>
        <v>0</v>
      </c>
      <c r="L319" s="179">
        <f t="shared" si="75"/>
        <v>9</v>
      </c>
      <c r="M319" s="179">
        <f t="shared" si="75"/>
        <v>0</v>
      </c>
      <c r="N319" s="179">
        <f t="shared" si="75"/>
        <v>0</v>
      </c>
      <c r="O319" s="179">
        <f t="shared" si="75"/>
        <v>0</v>
      </c>
      <c r="P319" s="179">
        <f t="shared" si="75"/>
        <v>0</v>
      </c>
      <c r="Q319" s="179">
        <f t="shared" si="75"/>
        <v>0</v>
      </c>
      <c r="R319" s="179">
        <f t="shared" si="75"/>
        <v>0</v>
      </c>
      <c r="S319" s="179">
        <f t="shared" si="75"/>
        <v>0</v>
      </c>
      <c r="T319" s="179">
        <f t="shared" si="75"/>
        <v>0</v>
      </c>
      <c r="U319" s="179">
        <f t="shared" si="75"/>
        <v>0</v>
      </c>
      <c r="V319" s="179">
        <f t="shared" si="75"/>
        <v>0</v>
      </c>
      <c r="W319" s="179">
        <f t="shared" si="75"/>
        <v>0</v>
      </c>
      <c r="X319" s="179">
        <f t="shared" si="75"/>
        <v>0</v>
      </c>
      <c r="Y319" s="179">
        <f t="shared" si="75"/>
        <v>0</v>
      </c>
      <c r="Z319" s="179">
        <f t="shared" si="75"/>
        <v>0</v>
      </c>
      <c r="AA319" s="179">
        <f t="shared" si="75"/>
        <v>0</v>
      </c>
      <c r="AB319" s="179">
        <f t="shared" si="75"/>
        <v>0</v>
      </c>
      <c r="AC319" s="179">
        <f t="shared" si="75"/>
        <v>0</v>
      </c>
      <c r="AD319" s="179">
        <f t="shared" si="75"/>
        <v>0</v>
      </c>
      <c r="AE319" s="179">
        <f t="shared" si="75"/>
        <v>0</v>
      </c>
      <c r="AF319" s="179">
        <f t="shared" si="75"/>
        <v>0</v>
      </c>
      <c r="AG319" s="179">
        <f t="shared" si="75"/>
        <v>0</v>
      </c>
      <c r="AH319" s="179">
        <f t="shared" si="75"/>
        <v>0</v>
      </c>
      <c r="AI319" s="179">
        <f t="shared" si="75"/>
        <v>15</v>
      </c>
      <c r="AJ319" s="179">
        <f t="shared" si="75"/>
        <v>0</v>
      </c>
      <c r="AK319" s="180">
        <f>AK192-AK256</f>
        <v>118</v>
      </c>
      <c r="AL319" s="181"/>
      <c r="AM319" s="18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</row>
    <row r="320" spans="1:61" x14ac:dyDescent="0.2">
      <c r="A320" s="154" t="s">
        <v>7</v>
      </c>
      <c r="B320" s="182">
        <f>B317+B318+B319</f>
        <v>1503</v>
      </c>
      <c r="C320" s="182">
        <f t="shared" ref="C320:AJ320" si="76">C317+C318+C319</f>
        <v>170</v>
      </c>
      <c r="D320" s="182">
        <f t="shared" si="76"/>
        <v>155</v>
      </c>
      <c r="E320" s="182">
        <f t="shared" si="76"/>
        <v>29</v>
      </c>
      <c r="F320" s="182">
        <f t="shared" si="76"/>
        <v>22</v>
      </c>
      <c r="G320" s="182">
        <f t="shared" si="76"/>
        <v>4</v>
      </c>
      <c r="H320" s="182">
        <f t="shared" si="76"/>
        <v>1</v>
      </c>
      <c r="I320" s="182">
        <f>I317+I318+I319</f>
        <v>0</v>
      </c>
      <c r="J320" s="182">
        <f>J317+J318+J319</f>
        <v>57</v>
      </c>
      <c r="K320" s="182">
        <f>K317+K318+K319</f>
        <v>0</v>
      </c>
      <c r="L320" s="182">
        <f t="shared" si="76"/>
        <v>74</v>
      </c>
      <c r="M320" s="182">
        <f t="shared" si="76"/>
        <v>3</v>
      </c>
      <c r="N320" s="182">
        <f t="shared" si="76"/>
        <v>5</v>
      </c>
      <c r="O320" s="182">
        <f t="shared" si="76"/>
        <v>1</v>
      </c>
      <c r="P320" s="182">
        <f t="shared" si="76"/>
        <v>26</v>
      </c>
      <c r="Q320" s="182">
        <f t="shared" si="76"/>
        <v>0</v>
      </c>
      <c r="R320" s="183">
        <f t="shared" si="76"/>
        <v>0</v>
      </c>
      <c r="S320" s="183">
        <f t="shared" si="76"/>
        <v>0</v>
      </c>
      <c r="T320" s="183">
        <f t="shared" si="76"/>
        <v>17</v>
      </c>
      <c r="U320" s="183">
        <f t="shared" si="76"/>
        <v>12</v>
      </c>
      <c r="V320" s="183">
        <f t="shared" si="76"/>
        <v>24</v>
      </c>
      <c r="W320" s="183">
        <f t="shared" si="76"/>
        <v>22</v>
      </c>
      <c r="X320" s="183">
        <f t="shared" si="76"/>
        <v>37</v>
      </c>
      <c r="Y320" s="183">
        <f t="shared" si="76"/>
        <v>11</v>
      </c>
      <c r="Z320" s="183">
        <f t="shared" si="76"/>
        <v>54</v>
      </c>
      <c r="AA320" s="183">
        <f t="shared" si="76"/>
        <v>20</v>
      </c>
      <c r="AB320" s="183">
        <f t="shared" si="76"/>
        <v>65</v>
      </c>
      <c r="AC320" s="183">
        <f t="shared" si="76"/>
        <v>1</v>
      </c>
      <c r="AD320" s="183">
        <f t="shared" si="76"/>
        <v>26</v>
      </c>
      <c r="AE320" s="183">
        <f t="shared" si="76"/>
        <v>2</v>
      </c>
      <c r="AF320" s="183">
        <f t="shared" si="76"/>
        <v>1</v>
      </c>
      <c r="AG320" s="183">
        <f t="shared" si="76"/>
        <v>187</v>
      </c>
      <c r="AH320" s="183">
        <f t="shared" si="76"/>
        <v>136</v>
      </c>
      <c r="AI320" s="183">
        <f t="shared" si="76"/>
        <v>91</v>
      </c>
      <c r="AJ320" s="183">
        <f t="shared" si="76"/>
        <v>48</v>
      </c>
      <c r="AK320" s="184">
        <f>SUM(AK317:AK319)</f>
        <v>2804</v>
      </c>
      <c r="AL320" s="181"/>
      <c r="AM320" s="18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</row>
    <row r="321" spans="1:61" x14ac:dyDescent="0.2">
      <c r="A321" s="120" t="s">
        <v>66</v>
      </c>
      <c r="B321" s="185" t="s">
        <v>138</v>
      </c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6"/>
      <c r="AI321" s="186"/>
      <c r="AJ321" s="186"/>
      <c r="AK321" s="180"/>
      <c r="AL321" s="181"/>
      <c r="AM321" s="18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</row>
    <row r="322" spans="1:61" x14ac:dyDescent="0.2">
      <c r="A322" s="110" t="s">
        <v>92</v>
      </c>
      <c r="B322" s="179">
        <f t="shared" ref="B322:AK324" si="77">B195-B259</f>
        <v>504</v>
      </c>
      <c r="C322" s="179">
        <f t="shared" si="77"/>
        <v>20</v>
      </c>
      <c r="D322" s="179">
        <f t="shared" si="77"/>
        <v>46</v>
      </c>
      <c r="E322" s="179">
        <f t="shared" si="77"/>
        <v>2</v>
      </c>
      <c r="F322" s="179">
        <f t="shared" si="77"/>
        <v>3</v>
      </c>
      <c r="G322" s="179">
        <f t="shared" si="77"/>
        <v>0</v>
      </c>
      <c r="H322" s="179">
        <f t="shared" si="77"/>
        <v>0</v>
      </c>
      <c r="I322" s="179">
        <f t="shared" si="77"/>
        <v>0</v>
      </c>
      <c r="J322" s="179">
        <f t="shared" si="77"/>
        <v>9</v>
      </c>
      <c r="K322" s="179">
        <f t="shared" si="77"/>
        <v>0</v>
      </c>
      <c r="L322" s="179">
        <f t="shared" si="77"/>
        <v>6</v>
      </c>
      <c r="M322" s="179">
        <f t="shared" si="77"/>
        <v>6</v>
      </c>
      <c r="N322" s="179">
        <f t="shared" si="77"/>
        <v>0</v>
      </c>
      <c r="O322" s="179">
        <f t="shared" si="77"/>
        <v>0</v>
      </c>
      <c r="P322" s="179">
        <f t="shared" si="77"/>
        <v>37</v>
      </c>
      <c r="Q322" s="179">
        <f t="shared" si="77"/>
        <v>1</v>
      </c>
      <c r="R322" s="187">
        <f t="shared" si="77"/>
        <v>1</v>
      </c>
      <c r="S322" s="179">
        <f t="shared" si="77"/>
        <v>0</v>
      </c>
      <c r="T322" s="179">
        <f t="shared" si="77"/>
        <v>5</v>
      </c>
      <c r="U322" s="179">
        <f t="shared" si="77"/>
        <v>8</v>
      </c>
      <c r="V322" s="179">
        <f t="shared" si="77"/>
        <v>3</v>
      </c>
      <c r="W322" s="179">
        <f t="shared" si="77"/>
        <v>6</v>
      </c>
      <c r="X322" s="179">
        <f t="shared" si="77"/>
        <v>7</v>
      </c>
      <c r="Y322" s="179">
        <f t="shared" si="77"/>
        <v>3</v>
      </c>
      <c r="Z322" s="179">
        <f t="shared" si="77"/>
        <v>7</v>
      </c>
      <c r="AA322" s="179">
        <f t="shared" si="77"/>
        <v>5</v>
      </c>
      <c r="AB322" s="179">
        <f t="shared" si="77"/>
        <v>73</v>
      </c>
      <c r="AC322" s="179">
        <f t="shared" si="77"/>
        <v>2</v>
      </c>
      <c r="AD322" s="179">
        <f t="shared" si="77"/>
        <v>10</v>
      </c>
      <c r="AE322" s="179">
        <f t="shared" si="77"/>
        <v>1</v>
      </c>
      <c r="AF322" s="179">
        <f t="shared" si="77"/>
        <v>3</v>
      </c>
      <c r="AG322" s="179">
        <f t="shared" si="77"/>
        <v>4</v>
      </c>
      <c r="AH322" s="179">
        <f t="shared" si="77"/>
        <v>4</v>
      </c>
      <c r="AI322" s="179">
        <f t="shared" si="77"/>
        <v>35</v>
      </c>
      <c r="AJ322" s="179">
        <f t="shared" si="77"/>
        <v>13</v>
      </c>
      <c r="AK322" s="180">
        <f t="shared" si="77"/>
        <v>824</v>
      </c>
      <c r="AL322" s="181"/>
      <c r="AM322" s="18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</row>
    <row r="323" spans="1:61" x14ac:dyDescent="0.2">
      <c r="A323" s="110" t="s">
        <v>93</v>
      </c>
      <c r="B323" s="179">
        <f t="shared" si="77"/>
        <v>1391</v>
      </c>
      <c r="C323" s="179">
        <f t="shared" si="77"/>
        <v>89</v>
      </c>
      <c r="D323" s="179">
        <f t="shared" si="77"/>
        <v>107</v>
      </c>
      <c r="E323" s="179">
        <f t="shared" si="77"/>
        <v>11</v>
      </c>
      <c r="F323" s="179">
        <f t="shared" si="77"/>
        <v>7</v>
      </c>
      <c r="G323" s="179">
        <f t="shared" si="77"/>
        <v>0</v>
      </c>
      <c r="H323" s="179">
        <f t="shared" si="77"/>
        <v>2</v>
      </c>
      <c r="I323" s="179">
        <f t="shared" si="77"/>
        <v>2</v>
      </c>
      <c r="J323" s="179">
        <f t="shared" si="77"/>
        <v>61</v>
      </c>
      <c r="K323" s="179">
        <f t="shared" si="77"/>
        <v>0</v>
      </c>
      <c r="L323" s="179">
        <f t="shared" si="77"/>
        <v>47</v>
      </c>
      <c r="M323" s="179">
        <f t="shared" si="77"/>
        <v>2</v>
      </c>
      <c r="N323" s="179">
        <f t="shared" si="77"/>
        <v>7</v>
      </c>
      <c r="O323" s="179">
        <f t="shared" si="77"/>
        <v>0</v>
      </c>
      <c r="P323" s="179">
        <f t="shared" si="77"/>
        <v>27</v>
      </c>
      <c r="Q323" s="179">
        <f t="shared" si="77"/>
        <v>0</v>
      </c>
      <c r="R323" s="187">
        <f t="shared" si="77"/>
        <v>0</v>
      </c>
      <c r="S323" s="179">
        <f t="shared" si="77"/>
        <v>1</v>
      </c>
      <c r="T323" s="179">
        <f t="shared" si="77"/>
        <v>13</v>
      </c>
      <c r="U323" s="179">
        <f t="shared" si="77"/>
        <v>13</v>
      </c>
      <c r="V323" s="179">
        <f t="shared" si="77"/>
        <v>15</v>
      </c>
      <c r="W323" s="179">
        <f t="shared" si="77"/>
        <v>15</v>
      </c>
      <c r="X323" s="179">
        <f t="shared" si="77"/>
        <v>19</v>
      </c>
      <c r="Y323" s="179">
        <f t="shared" si="77"/>
        <v>3</v>
      </c>
      <c r="Z323" s="179">
        <f t="shared" si="77"/>
        <v>24</v>
      </c>
      <c r="AA323" s="179">
        <f t="shared" si="77"/>
        <v>5</v>
      </c>
      <c r="AB323" s="179">
        <f t="shared" si="77"/>
        <v>19</v>
      </c>
      <c r="AC323" s="179">
        <f t="shared" si="77"/>
        <v>3</v>
      </c>
      <c r="AD323" s="179">
        <f t="shared" si="77"/>
        <v>16</v>
      </c>
      <c r="AE323" s="179">
        <f t="shared" si="77"/>
        <v>5</v>
      </c>
      <c r="AF323" s="179">
        <f t="shared" si="77"/>
        <v>1</v>
      </c>
      <c r="AG323" s="179">
        <f t="shared" si="77"/>
        <v>143</v>
      </c>
      <c r="AH323" s="179">
        <f t="shared" si="77"/>
        <v>135</v>
      </c>
      <c r="AI323" s="179">
        <f t="shared" si="77"/>
        <v>29</v>
      </c>
      <c r="AJ323" s="179">
        <f t="shared" si="77"/>
        <v>33</v>
      </c>
      <c r="AK323" s="180">
        <f t="shared" si="77"/>
        <v>2245</v>
      </c>
      <c r="AL323" s="181"/>
      <c r="AM323" s="18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</row>
    <row r="324" spans="1:61" x14ac:dyDescent="0.2">
      <c r="A324" s="110" t="s">
        <v>1</v>
      </c>
      <c r="B324" s="179">
        <f t="shared" si="77"/>
        <v>108</v>
      </c>
      <c r="C324" s="179">
        <f t="shared" si="77"/>
        <v>5</v>
      </c>
      <c r="D324" s="179">
        <f t="shared" si="77"/>
        <v>16</v>
      </c>
      <c r="E324" s="179">
        <f t="shared" si="77"/>
        <v>3</v>
      </c>
      <c r="F324" s="179">
        <f t="shared" si="77"/>
        <v>4</v>
      </c>
      <c r="G324" s="179">
        <f t="shared" si="77"/>
        <v>4</v>
      </c>
      <c r="H324" s="179">
        <f t="shared" si="77"/>
        <v>6</v>
      </c>
      <c r="I324" s="179">
        <f t="shared" si="77"/>
        <v>0</v>
      </c>
      <c r="J324" s="179">
        <f t="shared" si="77"/>
        <v>14</v>
      </c>
      <c r="K324" s="179">
        <f t="shared" si="77"/>
        <v>0</v>
      </c>
      <c r="L324" s="179">
        <f t="shared" si="77"/>
        <v>17</v>
      </c>
      <c r="M324" s="179">
        <f t="shared" si="77"/>
        <v>0</v>
      </c>
      <c r="N324" s="179">
        <f t="shared" si="77"/>
        <v>0</v>
      </c>
      <c r="O324" s="179">
        <f t="shared" si="77"/>
        <v>0</v>
      </c>
      <c r="P324" s="179">
        <f t="shared" si="77"/>
        <v>0</v>
      </c>
      <c r="Q324" s="179">
        <f t="shared" si="77"/>
        <v>0</v>
      </c>
      <c r="R324" s="187">
        <f t="shared" si="77"/>
        <v>0</v>
      </c>
      <c r="S324" s="179">
        <f t="shared" si="77"/>
        <v>0</v>
      </c>
      <c r="T324" s="179">
        <f t="shared" si="77"/>
        <v>0</v>
      </c>
      <c r="U324" s="179">
        <f t="shared" si="77"/>
        <v>0</v>
      </c>
      <c r="V324" s="179">
        <f t="shared" si="77"/>
        <v>0</v>
      </c>
      <c r="W324" s="179">
        <f t="shared" si="77"/>
        <v>0</v>
      </c>
      <c r="X324" s="179">
        <f t="shared" si="77"/>
        <v>0</v>
      </c>
      <c r="Y324" s="179">
        <f t="shared" si="77"/>
        <v>0</v>
      </c>
      <c r="Z324" s="179">
        <f t="shared" si="77"/>
        <v>0</v>
      </c>
      <c r="AA324" s="179">
        <f t="shared" si="77"/>
        <v>0</v>
      </c>
      <c r="AB324" s="179">
        <f t="shared" si="77"/>
        <v>0</v>
      </c>
      <c r="AC324" s="179">
        <f t="shared" si="77"/>
        <v>0</v>
      </c>
      <c r="AD324" s="179">
        <f t="shared" si="77"/>
        <v>0</v>
      </c>
      <c r="AE324" s="179">
        <f t="shared" si="77"/>
        <v>0</v>
      </c>
      <c r="AF324" s="179">
        <f t="shared" si="77"/>
        <v>0</v>
      </c>
      <c r="AG324" s="179">
        <f t="shared" si="77"/>
        <v>0</v>
      </c>
      <c r="AH324" s="179">
        <f t="shared" si="77"/>
        <v>0</v>
      </c>
      <c r="AI324" s="179">
        <f t="shared" si="77"/>
        <v>3</v>
      </c>
      <c r="AJ324" s="179">
        <f t="shared" si="77"/>
        <v>11</v>
      </c>
      <c r="AK324" s="180">
        <f t="shared" si="77"/>
        <v>191</v>
      </c>
      <c r="AL324" s="181"/>
      <c r="AM324" s="18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</row>
    <row r="325" spans="1:61" x14ac:dyDescent="0.2">
      <c r="A325" s="154" t="s">
        <v>7</v>
      </c>
      <c r="B325" s="182">
        <f t="shared" ref="B325:AK325" si="78">B322+B323+B324</f>
        <v>2003</v>
      </c>
      <c r="C325" s="182">
        <f t="shared" si="78"/>
        <v>114</v>
      </c>
      <c r="D325" s="182">
        <f t="shared" si="78"/>
        <v>169</v>
      </c>
      <c r="E325" s="182">
        <f t="shared" si="78"/>
        <v>16</v>
      </c>
      <c r="F325" s="182">
        <f t="shared" si="78"/>
        <v>14</v>
      </c>
      <c r="G325" s="182">
        <f t="shared" si="78"/>
        <v>4</v>
      </c>
      <c r="H325" s="182">
        <f t="shared" si="78"/>
        <v>8</v>
      </c>
      <c r="I325" s="182">
        <f>I322+I323+I324</f>
        <v>2</v>
      </c>
      <c r="J325" s="182">
        <f>J322+J323+J324</f>
        <v>84</v>
      </c>
      <c r="K325" s="182">
        <f>K322+K323+K324</f>
        <v>0</v>
      </c>
      <c r="L325" s="182">
        <f t="shared" si="78"/>
        <v>70</v>
      </c>
      <c r="M325" s="182">
        <f t="shared" si="78"/>
        <v>8</v>
      </c>
      <c r="N325" s="182">
        <f t="shared" si="78"/>
        <v>7</v>
      </c>
      <c r="O325" s="182">
        <f t="shared" si="78"/>
        <v>0</v>
      </c>
      <c r="P325" s="182">
        <f t="shared" si="78"/>
        <v>64</v>
      </c>
      <c r="Q325" s="182">
        <f t="shared" si="78"/>
        <v>1</v>
      </c>
      <c r="R325" s="183">
        <f t="shared" si="78"/>
        <v>1</v>
      </c>
      <c r="S325" s="182">
        <f t="shared" si="78"/>
        <v>1</v>
      </c>
      <c r="T325" s="182">
        <f t="shared" si="78"/>
        <v>18</v>
      </c>
      <c r="U325" s="182">
        <f t="shared" si="78"/>
        <v>21</v>
      </c>
      <c r="V325" s="182">
        <f t="shared" si="78"/>
        <v>18</v>
      </c>
      <c r="W325" s="182">
        <f t="shared" si="78"/>
        <v>21</v>
      </c>
      <c r="X325" s="182">
        <f t="shared" si="78"/>
        <v>26</v>
      </c>
      <c r="Y325" s="182">
        <f t="shared" si="78"/>
        <v>6</v>
      </c>
      <c r="Z325" s="182">
        <f t="shared" si="78"/>
        <v>31</v>
      </c>
      <c r="AA325" s="182">
        <f t="shared" si="78"/>
        <v>10</v>
      </c>
      <c r="AB325" s="182">
        <f t="shared" si="78"/>
        <v>92</v>
      </c>
      <c r="AC325" s="182">
        <f t="shared" si="78"/>
        <v>5</v>
      </c>
      <c r="AD325" s="182">
        <f t="shared" si="78"/>
        <v>26</v>
      </c>
      <c r="AE325" s="182">
        <f t="shared" si="78"/>
        <v>6</v>
      </c>
      <c r="AF325" s="182">
        <f t="shared" si="78"/>
        <v>4</v>
      </c>
      <c r="AG325" s="182">
        <f t="shared" si="78"/>
        <v>147</v>
      </c>
      <c r="AH325" s="182">
        <f t="shared" si="78"/>
        <v>139</v>
      </c>
      <c r="AI325" s="182">
        <f t="shared" si="78"/>
        <v>67</v>
      </c>
      <c r="AJ325" s="182">
        <f t="shared" si="78"/>
        <v>57</v>
      </c>
      <c r="AK325" s="184">
        <f t="shared" si="78"/>
        <v>3260</v>
      </c>
      <c r="AL325" s="181"/>
      <c r="AM325" s="18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</row>
    <row r="326" spans="1:61" x14ac:dyDescent="0.2">
      <c r="A326" s="120" t="s">
        <v>67</v>
      </c>
      <c r="B326" s="185"/>
      <c r="C326" s="185"/>
      <c r="D326" s="185"/>
      <c r="E326" s="185"/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  <c r="P326" s="185"/>
      <c r="Q326" s="185"/>
      <c r="R326" s="186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0"/>
      <c r="AL326" s="181"/>
      <c r="AM326" s="18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</row>
    <row r="327" spans="1:61" x14ac:dyDescent="0.2">
      <c r="A327" s="110" t="s">
        <v>92</v>
      </c>
      <c r="B327" s="179">
        <f t="shared" ref="B327:AJ329" si="79">B200-B264</f>
        <v>37</v>
      </c>
      <c r="C327" s="179">
        <f t="shared" si="79"/>
        <v>4</v>
      </c>
      <c r="D327" s="179">
        <f t="shared" si="79"/>
        <v>0</v>
      </c>
      <c r="E327" s="179">
        <f t="shared" si="79"/>
        <v>0</v>
      </c>
      <c r="F327" s="179">
        <f t="shared" si="79"/>
        <v>0</v>
      </c>
      <c r="G327" s="179">
        <f t="shared" si="79"/>
        <v>0</v>
      </c>
      <c r="H327" s="179">
        <f t="shared" si="79"/>
        <v>0</v>
      </c>
      <c r="I327" s="179">
        <f t="shared" si="79"/>
        <v>0</v>
      </c>
      <c r="J327" s="179">
        <f t="shared" si="79"/>
        <v>0</v>
      </c>
      <c r="K327" s="179">
        <f t="shared" si="79"/>
        <v>0</v>
      </c>
      <c r="L327" s="179">
        <f t="shared" si="79"/>
        <v>0</v>
      </c>
      <c r="M327" s="179">
        <f t="shared" si="79"/>
        <v>0</v>
      </c>
      <c r="N327" s="179">
        <f t="shared" si="79"/>
        <v>0</v>
      </c>
      <c r="O327" s="179">
        <f t="shared" si="79"/>
        <v>0</v>
      </c>
      <c r="P327" s="179">
        <f t="shared" si="79"/>
        <v>0</v>
      </c>
      <c r="Q327" s="179">
        <f t="shared" si="79"/>
        <v>0</v>
      </c>
      <c r="R327" s="187">
        <f t="shared" si="79"/>
        <v>0</v>
      </c>
      <c r="S327" s="179">
        <f t="shared" si="79"/>
        <v>0</v>
      </c>
      <c r="T327" s="179">
        <f t="shared" si="79"/>
        <v>0</v>
      </c>
      <c r="U327" s="179">
        <f t="shared" si="79"/>
        <v>0</v>
      </c>
      <c r="V327" s="179">
        <f t="shared" si="79"/>
        <v>0</v>
      </c>
      <c r="W327" s="179">
        <f t="shared" si="79"/>
        <v>0</v>
      </c>
      <c r="X327" s="179">
        <f t="shared" si="79"/>
        <v>0</v>
      </c>
      <c r="Y327" s="179">
        <f t="shared" si="79"/>
        <v>0</v>
      </c>
      <c r="Z327" s="179">
        <f t="shared" si="79"/>
        <v>2</v>
      </c>
      <c r="AA327" s="179">
        <f t="shared" si="79"/>
        <v>0</v>
      </c>
      <c r="AB327" s="179">
        <f t="shared" si="79"/>
        <v>4</v>
      </c>
      <c r="AC327" s="179">
        <f t="shared" si="79"/>
        <v>0</v>
      </c>
      <c r="AD327" s="179">
        <f t="shared" si="79"/>
        <v>0</v>
      </c>
      <c r="AE327" s="179">
        <f t="shared" si="79"/>
        <v>1</v>
      </c>
      <c r="AF327" s="179">
        <f t="shared" si="79"/>
        <v>1</v>
      </c>
      <c r="AG327" s="179">
        <f t="shared" si="79"/>
        <v>0</v>
      </c>
      <c r="AH327" s="179">
        <f t="shared" si="79"/>
        <v>0</v>
      </c>
      <c r="AI327" s="179">
        <f t="shared" si="79"/>
        <v>3</v>
      </c>
      <c r="AJ327" s="179">
        <f t="shared" si="79"/>
        <v>0</v>
      </c>
      <c r="AK327" s="180">
        <f>SUM(B327:AJ327)</f>
        <v>52</v>
      </c>
      <c r="AL327" s="181"/>
      <c r="AM327" s="18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</row>
    <row r="328" spans="1:61" x14ac:dyDescent="0.2">
      <c r="A328" s="110" t="s">
        <v>93</v>
      </c>
      <c r="B328" s="179">
        <f t="shared" si="79"/>
        <v>1651</v>
      </c>
      <c r="C328" s="179">
        <f t="shared" si="79"/>
        <v>94</v>
      </c>
      <c r="D328" s="179">
        <f t="shared" si="79"/>
        <v>162</v>
      </c>
      <c r="E328" s="179">
        <f t="shared" si="79"/>
        <v>21</v>
      </c>
      <c r="F328" s="179">
        <f t="shared" si="79"/>
        <v>18</v>
      </c>
      <c r="G328" s="179">
        <f t="shared" si="79"/>
        <v>4</v>
      </c>
      <c r="H328" s="179">
        <f t="shared" si="79"/>
        <v>6</v>
      </c>
      <c r="I328" s="179">
        <f t="shared" si="79"/>
        <v>1</v>
      </c>
      <c r="J328" s="179">
        <f t="shared" si="79"/>
        <v>65</v>
      </c>
      <c r="K328" s="179">
        <f t="shared" si="79"/>
        <v>0</v>
      </c>
      <c r="L328" s="179">
        <f t="shared" si="79"/>
        <v>61</v>
      </c>
      <c r="M328" s="179">
        <f t="shared" si="79"/>
        <v>0</v>
      </c>
      <c r="N328" s="179">
        <f t="shared" si="79"/>
        <v>1</v>
      </c>
      <c r="O328" s="179">
        <f t="shared" si="79"/>
        <v>2</v>
      </c>
      <c r="P328" s="179">
        <f t="shared" si="79"/>
        <v>31</v>
      </c>
      <c r="Q328" s="179">
        <f t="shared" si="79"/>
        <v>3</v>
      </c>
      <c r="R328" s="187">
        <f t="shared" si="79"/>
        <v>0</v>
      </c>
      <c r="S328" s="179">
        <f t="shared" si="79"/>
        <v>0</v>
      </c>
      <c r="T328" s="179">
        <f t="shared" si="79"/>
        <v>17</v>
      </c>
      <c r="U328" s="179">
        <f t="shared" si="79"/>
        <v>16</v>
      </c>
      <c r="V328" s="179">
        <f t="shared" si="79"/>
        <v>23</v>
      </c>
      <c r="W328" s="179">
        <f t="shared" si="79"/>
        <v>21</v>
      </c>
      <c r="X328" s="179">
        <f t="shared" si="79"/>
        <v>38</v>
      </c>
      <c r="Y328" s="179">
        <f t="shared" si="79"/>
        <v>5</v>
      </c>
      <c r="Z328" s="179">
        <f t="shared" si="79"/>
        <v>50</v>
      </c>
      <c r="AA328" s="179">
        <f t="shared" si="79"/>
        <v>22</v>
      </c>
      <c r="AB328" s="179">
        <f t="shared" si="79"/>
        <v>13</v>
      </c>
      <c r="AC328" s="179">
        <f t="shared" si="79"/>
        <v>0</v>
      </c>
      <c r="AD328" s="179">
        <f t="shared" si="79"/>
        <v>20</v>
      </c>
      <c r="AE328" s="179">
        <f t="shared" si="79"/>
        <v>5</v>
      </c>
      <c r="AF328" s="179">
        <f t="shared" si="79"/>
        <v>7</v>
      </c>
      <c r="AG328" s="179">
        <f t="shared" si="79"/>
        <v>265</v>
      </c>
      <c r="AH328" s="179">
        <f t="shared" si="79"/>
        <v>276</v>
      </c>
      <c r="AI328" s="179">
        <f t="shared" si="79"/>
        <v>33</v>
      </c>
      <c r="AJ328" s="179">
        <f t="shared" si="79"/>
        <v>36</v>
      </c>
      <c r="AK328" s="180">
        <f>SUM(B328:AJ328)</f>
        <v>2967</v>
      </c>
      <c r="AL328" s="181"/>
      <c r="AM328" s="18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</row>
    <row r="329" spans="1:61" x14ac:dyDescent="0.2">
      <c r="A329" s="110" t="s">
        <v>1</v>
      </c>
      <c r="B329" s="179">
        <f t="shared" si="79"/>
        <v>95</v>
      </c>
      <c r="C329" s="179">
        <f t="shared" si="79"/>
        <v>4</v>
      </c>
      <c r="D329" s="179">
        <f t="shared" si="79"/>
        <v>2</v>
      </c>
      <c r="E329" s="179">
        <f t="shared" si="79"/>
        <v>0</v>
      </c>
      <c r="F329" s="179">
        <f t="shared" si="79"/>
        <v>6</v>
      </c>
      <c r="G329" s="179">
        <f t="shared" si="79"/>
        <v>0</v>
      </c>
      <c r="H329" s="179">
        <f t="shared" si="79"/>
        <v>3</v>
      </c>
      <c r="I329" s="179">
        <f t="shared" si="79"/>
        <v>0</v>
      </c>
      <c r="J329" s="179">
        <f t="shared" si="79"/>
        <v>9</v>
      </c>
      <c r="K329" s="179">
        <f t="shared" si="79"/>
        <v>0</v>
      </c>
      <c r="L329" s="179">
        <f t="shared" si="79"/>
        <v>13</v>
      </c>
      <c r="M329" s="179">
        <f t="shared" si="79"/>
        <v>0</v>
      </c>
      <c r="N329" s="179">
        <f t="shared" si="79"/>
        <v>0</v>
      </c>
      <c r="O329" s="179">
        <f t="shared" si="79"/>
        <v>0</v>
      </c>
      <c r="P329" s="179">
        <f t="shared" si="79"/>
        <v>0</v>
      </c>
      <c r="Q329" s="179">
        <f t="shared" si="79"/>
        <v>0</v>
      </c>
      <c r="R329" s="179">
        <f t="shared" si="79"/>
        <v>0</v>
      </c>
      <c r="S329" s="179">
        <f t="shared" si="79"/>
        <v>0</v>
      </c>
      <c r="T329" s="179">
        <f t="shared" si="79"/>
        <v>0</v>
      </c>
      <c r="U329" s="179">
        <f t="shared" si="79"/>
        <v>0</v>
      </c>
      <c r="V329" s="179">
        <f t="shared" si="79"/>
        <v>0</v>
      </c>
      <c r="W329" s="179">
        <f t="shared" si="79"/>
        <v>0</v>
      </c>
      <c r="X329" s="179">
        <f t="shared" si="79"/>
        <v>0</v>
      </c>
      <c r="Y329" s="179">
        <f t="shared" si="79"/>
        <v>0</v>
      </c>
      <c r="Z329" s="179">
        <f t="shared" si="79"/>
        <v>0</v>
      </c>
      <c r="AA329" s="179">
        <f t="shared" si="79"/>
        <v>0</v>
      </c>
      <c r="AB329" s="179">
        <f t="shared" si="79"/>
        <v>0</v>
      </c>
      <c r="AC329" s="179">
        <f t="shared" si="79"/>
        <v>0</v>
      </c>
      <c r="AD329" s="179">
        <f t="shared" si="79"/>
        <v>0</v>
      </c>
      <c r="AE329" s="179">
        <f t="shared" si="79"/>
        <v>0</v>
      </c>
      <c r="AF329" s="179">
        <f t="shared" si="79"/>
        <v>0</v>
      </c>
      <c r="AG329" s="179">
        <f t="shared" si="79"/>
        <v>0</v>
      </c>
      <c r="AH329" s="179">
        <f t="shared" si="79"/>
        <v>0</v>
      </c>
      <c r="AI329" s="179">
        <f t="shared" si="79"/>
        <v>24</v>
      </c>
      <c r="AJ329" s="179">
        <f t="shared" si="79"/>
        <v>6</v>
      </c>
      <c r="AK329" s="180">
        <f>SUM(B329:AJ329)</f>
        <v>162</v>
      </c>
      <c r="AL329" s="181"/>
      <c r="AM329" s="18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</row>
    <row r="330" spans="1:61" x14ac:dyDescent="0.2">
      <c r="A330" s="154" t="s">
        <v>7</v>
      </c>
      <c r="B330" s="182">
        <f t="shared" ref="B330:AK330" si="80">B327+B328+B329</f>
        <v>1783</v>
      </c>
      <c r="C330" s="182">
        <f t="shared" si="80"/>
        <v>102</v>
      </c>
      <c r="D330" s="182">
        <f t="shared" si="80"/>
        <v>164</v>
      </c>
      <c r="E330" s="182">
        <f t="shared" si="80"/>
        <v>21</v>
      </c>
      <c r="F330" s="182">
        <f t="shared" si="80"/>
        <v>24</v>
      </c>
      <c r="G330" s="182">
        <f t="shared" si="80"/>
        <v>4</v>
      </c>
      <c r="H330" s="182">
        <f t="shared" si="80"/>
        <v>9</v>
      </c>
      <c r="I330" s="182">
        <f>I327+I328+I329</f>
        <v>1</v>
      </c>
      <c r="J330" s="182">
        <f>J327+J328+J329</f>
        <v>74</v>
      </c>
      <c r="K330" s="182">
        <f>K327+K328+K329</f>
        <v>0</v>
      </c>
      <c r="L330" s="182">
        <f t="shared" si="80"/>
        <v>74</v>
      </c>
      <c r="M330" s="182">
        <f t="shared" si="80"/>
        <v>0</v>
      </c>
      <c r="N330" s="182">
        <f t="shared" si="80"/>
        <v>1</v>
      </c>
      <c r="O330" s="182">
        <f t="shared" si="80"/>
        <v>2</v>
      </c>
      <c r="P330" s="182">
        <f t="shared" si="80"/>
        <v>31</v>
      </c>
      <c r="Q330" s="182">
        <f t="shared" si="80"/>
        <v>3</v>
      </c>
      <c r="R330" s="183">
        <f t="shared" si="80"/>
        <v>0</v>
      </c>
      <c r="S330" s="182">
        <f t="shared" si="80"/>
        <v>0</v>
      </c>
      <c r="T330" s="182">
        <f t="shared" si="80"/>
        <v>17</v>
      </c>
      <c r="U330" s="182">
        <f t="shared" si="80"/>
        <v>16</v>
      </c>
      <c r="V330" s="182">
        <f t="shared" si="80"/>
        <v>23</v>
      </c>
      <c r="W330" s="182">
        <f t="shared" si="80"/>
        <v>21</v>
      </c>
      <c r="X330" s="182">
        <f t="shared" si="80"/>
        <v>38</v>
      </c>
      <c r="Y330" s="182">
        <f t="shared" si="80"/>
        <v>5</v>
      </c>
      <c r="Z330" s="182">
        <f t="shared" si="80"/>
        <v>52</v>
      </c>
      <c r="AA330" s="182">
        <f t="shared" si="80"/>
        <v>22</v>
      </c>
      <c r="AB330" s="182">
        <f t="shared" si="80"/>
        <v>17</v>
      </c>
      <c r="AC330" s="182">
        <f t="shared" si="80"/>
        <v>0</v>
      </c>
      <c r="AD330" s="182">
        <f t="shared" si="80"/>
        <v>20</v>
      </c>
      <c r="AE330" s="182">
        <f t="shared" si="80"/>
        <v>6</v>
      </c>
      <c r="AF330" s="182">
        <f t="shared" si="80"/>
        <v>8</v>
      </c>
      <c r="AG330" s="182">
        <f t="shared" si="80"/>
        <v>265</v>
      </c>
      <c r="AH330" s="182">
        <f t="shared" si="80"/>
        <v>276</v>
      </c>
      <c r="AI330" s="182">
        <f t="shared" si="80"/>
        <v>60</v>
      </c>
      <c r="AJ330" s="182">
        <f t="shared" si="80"/>
        <v>42</v>
      </c>
      <c r="AK330" s="184">
        <f t="shared" si="80"/>
        <v>3181</v>
      </c>
      <c r="AL330" s="181"/>
      <c r="AM330" s="18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</row>
    <row r="331" spans="1:61" x14ac:dyDescent="0.2">
      <c r="A331" s="120" t="s">
        <v>68</v>
      </c>
      <c r="B331" s="185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8"/>
      <c r="AL331" s="181"/>
      <c r="AM331" s="18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</row>
    <row r="332" spans="1:61" x14ac:dyDescent="0.2">
      <c r="A332" s="110" t="s">
        <v>92</v>
      </c>
      <c r="B332" s="179">
        <f t="shared" ref="B332:AK334" si="81">B205-B269</f>
        <v>633</v>
      </c>
      <c r="C332" s="179">
        <f t="shared" si="81"/>
        <v>30</v>
      </c>
      <c r="D332" s="179">
        <f t="shared" si="81"/>
        <v>45</v>
      </c>
      <c r="E332" s="179">
        <f t="shared" si="81"/>
        <v>4</v>
      </c>
      <c r="F332" s="179">
        <f t="shared" si="81"/>
        <v>4</v>
      </c>
      <c r="G332" s="179">
        <f t="shared" si="81"/>
        <v>0</v>
      </c>
      <c r="H332" s="179">
        <f t="shared" si="81"/>
        <v>0</v>
      </c>
      <c r="I332" s="179">
        <f t="shared" si="81"/>
        <v>7</v>
      </c>
      <c r="J332" s="179">
        <f t="shared" si="81"/>
        <v>10</v>
      </c>
      <c r="K332" s="179">
        <f t="shared" si="81"/>
        <v>0</v>
      </c>
      <c r="L332" s="179">
        <f t="shared" si="81"/>
        <v>24</v>
      </c>
      <c r="M332" s="179">
        <f t="shared" si="81"/>
        <v>16</v>
      </c>
      <c r="N332" s="179">
        <f t="shared" si="81"/>
        <v>1</v>
      </c>
      <c r="O332" s="179">
        <f t="shared" si="81"/>
        <v>0</v>
      </c>
      <c r="P332" s="179">
        <f t="shared" si="81"/>
        <v>7</v>
      </c>
      <c r="Q332" s="179">
        <f t="shared" si="81"/>
        <v>0</v>
      </c>
      <c r="R332" s="179">
        <f t="shared" si="81"/>
        <v>0</v>
      </c>
      <c r="S332" s="179">
        <f t="shared" si="81"/>
        <v>2</v>
      </c>
      <c r="T332" s="179">
        <f t="shared" si="81"/>
        <v>5</v>
      </c>
      <c r="U332" s="179">
        <f t="shared" si="81"/>
        <v>3</v>
      </c>
      <c r="V332" s="179">
        <f t="shared" si="81"/>
        <v>0</v>
      </c>
      <c r="W332" s="179">
        <f t="shared" si="81"/>
        <v>4</v>
      </c>
      <c r="X332" s="179">
        <f t="shared" si="81"/>
        <v>3</v>
      </c>
      <c r="Y332" s="179">
        <f t="shared" si="81"/>
        <v>3</v>
      </c>
      <c r="Z332" s="179">
        <f t="shared" si="81"/>
        <v>4</v>
      </c>
      <c r="AA332" s="179">
        <f t="shared" si="81"/>
        <v>5</v>
      </c>
      <c r="AB332" s="179">
        <f t="shared" si="81"/>
        <v>48</v>
      </c>
      <c r="AC332" s="179">
        <f t="shared" si="81"/>
        <v>0</v>
      </c>
      <c r="AD332" s="179">
        <f>AD205-AD269</f>
        <v>21</v>
      </c>
      <c r="AE332" s="179">
        <f t="shared" si="81"/>
        <v>0</v>
      </c>
      <c r="AF332" s="179">
        <f t="shared" si="81"/>
        <v>0</v>
      </c>
      <c r="AG332" s="179">
        <f t="shared" si="81"/>
        <v>8</v>
      </c>
      <c r="AH332" s="179">
        <f t="shared" si="81"/>
        <v>2</v>
      </c>
      <c r="AI332" s="179">
        <f t="shared" si="81"/>
        <v>54</v>
      </c>
      <c r="AJ332" s="179">
        <f t="shared" si="81"/>
        <v>10</v>
      </c>
      <c r="AK332" s="180">
        <f t="shared" si="81"/>
        <v>953</v>
      </c>
      <c r="AL332" s="181"/>
      <c r="AM332" s="18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</row>
    <row r="333" spans="1:61" x14ac:dyDescent="0.2">
      <c r="A333" s="110" t="s">
        <v>93</v>
      </c>
      <c r="B333" s="179">
        <f t="shared" si="81"/>
        <v>1757</v>
      </c>
      <c r="C333" s="179">
        <f t="shared" si="81"/>
        <v>156</v>
      </c>
      <c r="D333" s="179">
        <f t="shared" si="81"/>
        <v>131</v>
      </c>
      <c r="E333" s="179">
        <f t="shared" si="81"/>
        <v>29</v>
      </c>
      <c r="F333" s="179">
        <f t="shared" si="81"/>
        <v>13</v>
      </c>
      <c r="G333" s="179">
        <f t="shared" si="81"/>
        <v>5</v>
      </c>
      <c r="H333" s="179">
        <f t="shared" si="81"/>
        <v>5</v>
      </c>
      <c r="I333" s="179">
        <f t="shared" si="81"/>
        <v>12</v>
      </c>
      <c r="J333" s="179">
        <f t="shared" si="81"/>
        <v>64</v>
      </c>
      <c r="K333" s="179">
        <f t="shared" si="81"/>
        <v>0</v>
      </c>
      <c r="L333" s="179">
        <f t="shared" si="81"/>
        <v>55</v>
      </c>
      <c r="M333" s="179">
        <f t="shared" si="81"/>
        <v>0</v>
      </c>
      <c r="N333" s="179">
        <f t="shared" si="81"/>
        <v>2</v>
      </c>
      <c r="O333" s="179">
        <f t="shared" si="81"/>
        <v>0</v>
      </c>
      <c r="P333" s="179">
        <f t="shared" si="81"/>
        <v>28</v>
      </c>
      <c r="Q333" s="179">
        <f t="shared" si="81"/>
        <v>0</v>
      </c>
      <c r="R333" s="179">
        <f t="shared" si="81"/>
        <v>0</v>
      </c>
      <c r="S333" s="179">
        <f t="shared" si="81"/>
        <v>0</v>
      </c>
      <c r="T333" s="179">
        <f t="shared" si="81"/>
        <v>12</v>
      </c>
      <c r="U333" s="179">
        <f t="shared" si="81"/>
        <v>15</v>
      </c>
      <c r="V333" s="179">
        <f t="shared" si="81"/>
        <v>13</v>
      </c>
      <c r="W333" s="179">
        <f t="shared" si="81"/>
        <v>20</v>
      </c>
      <c r="X333" s="179">
        <f t="shared" si="81"/>
        <v>25</v>
      </c>
      <c r="Y333" s="179">
        <f t="shared" si="81"/>
        <v>5</v>
      </c>
      <c r="Z333" s="179">
        <f t="shared" si="81"/>
        <v>35</v>
      </c>
      <c r="AA333" s="179">
        <f t="shared" si="81"/>
        <v>12</v>
      </c>
      <c r="AB333" s="179">
        <f t="shared" si="81"/>
        <v>17</v>
      </c>
      <c r="AC333" s="179">
        <f t="shared" si="81"/>
        <v>0</v>
      </c>
      <c r="AD333" s="179">
        <f t="shared" si="81"/>
        <v>12</v>
      </c>
      <c r="AE333" s="179">
        <f t="shared" si="81"/>
        <v>3</v>
      </c>
      <c r="AF333" s="179">
        <f t="shared" si="81"/>
        <v>1</v>
      </c>
      <c r="AG333" s="179">
        <f t="shared" si="81"/>
        <v>231</v>
      </c>
      <c r="AH333" s="179">
        <f t="shared" si="81"/>
        <v>182</v>
      </c>
      <c r="AI333" s="179">
        <f t="shared" si="81"/>
        <v>55</v>
      </c>
      <c r="AJ333" s="179">
        <f t="shared" si="81"/>
        <v>34</v>
      </c>
      <c r="AK333" s="180">
        <f t="shared" si="81"/>
        <v>2929</v>
      </c>
      <c r="AL333" s="181"/>
      <c r="AM333" s="18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</row>
    <row r="334" spans="1:61" x14ac:dyDescent="0.2">
      <c r="A334" s="110" t="s">
        <v>1</v>
      </c>
      <c r="B334" s="179">
        <f t="shared" si="81"/>
        <v>0</v>
      </c>
      <c r="C334" s="179">
        <f t="shared" si="81"/>
        <v>0</v>
      </c>
      <c r="D334" s="179">
        <f t="shared" si="81"/>
        <v>0</v>
      </c>
      <c r="E334" s="179">
        <f t="shared" si="81"/>
        <v>0</v>
      </c>
      <c r="F334" s="179">
        <f t="shared" si="81"/>
        <v>0</v>
      </c>
      <c r="G334" s="179">
        <f t="shared" si="81"/>
        <v>0</v>
      </c>
      <c r="H334" s="179">
        <f t="shared" si="81"/>
        <v>0</v>
      </c>
      <c r="I334" s="179">
        <f t="shared" si="81"/>
        <v>0</v>
      </c>
      <c r="J334" s="179">
        <f t="shared" si="81"/>
        <v>0</v>
      </c>
      <c r="K334" s="179">
        <f t="shared" si="81"/>
        <v>0</v>
      </c>
      <c r="L334" s="179">
        <f t="shared" si="81"/>
        <v>0</v>
      </c>
      <c r="M334" s="179">
        <f t="shared" si="81"/>
        <v>0</v>
      </c>
      <c r="N334" s="179">
        <f t="shared" si="81"/>
        <v>0</v>
      </c>
      <c r="O334" s="179">
        <f t="shared" si="81"/>
        <v>0</v>
      </c>
      <c r="P334" s="179">
        <f t="shared" si="81"/>
        <v>0</v>
      </c>
      <c r="Q334" s="179">
        <f t="shared" si="81"/>
        <v>0</v>
      </c>
      <c r="R334" s="179">
        <f t="shared" si="81"/>
        <v>0</v>
      </c>
      <c r="S334" s="179">
        <f t="shared" si="81"/>
        <v>0</v>
      </c>
      <c r="T334" s="179">
        <f t="shared" si="81"/>
        <v>0</v>
      </c>
      <c r="U334" s="179">
        <f t="shared" si="81"/>
        <v>0</v>
      </c>
      <c r="V334" s="179">
        <f t="shared" si="81"/>
        <v>0</v>
      </c>
      <c r="W334" s="179">
        <f t="shared" si="81"/>
        <v>0</v>
      </c>
      <c r="X334" s="179">
        <f t="shared" si="81"/>
        <v>0</v>
      </c>
      <c r="Y334" s="179">
        <f t="shared" si="81"/>
        <v>0</v>
      </c>
      <c r="Z334" s="179">
        <f t="shared" si="81"/>
        <v>0</v>
      </c>
      <c r="AA334" s="179">
        <f t="shared" si="81"/>
        <v>0</v>
      </c>
      <c r="AB334" s="179">
        <f t="shared" si="81"/>
        <v>0</v>
      </c>
      <c r="AC334" s="179">
        <f t="shared" si="81"/>
        <v>0</v>
      </c>
      <c r="AD334" s="179">
        <f t="shared" si="81"/>
        <v>0</v>
      </c>
      <c r="AE334" s="179">
        <f t="shared" si="81"/>
        <v>0</v>
      </c>
      <c r="AF334" s="179">
        <f t="shared" si="81"/>
        <v>0</v>
      </c>
      <c r="AG334" s="179">
        <f t="shared" si="81"/>
        <v>0</v>
      </c>
      <c r="AH334" s="179">
        <f t="shared" si="81"/>
        <v>0</v>
      </c>
      <c r="AI334" s="179">
        <f t="shared" si="81"/>
        <v>0</v>
      </c>
      <c r="AJ334" s="179">
        <f t="shared" si="81"/>
        <v>0</v>
      </c>
      <c r="AK334" s="180">
        <f t="shared" si="81"/>
        <v>0</v>
      </c>
      <c r="AL334" s="181"/>
      <c r="AM334" s="18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</row>
    <row r="335" spans="1:61" x14ac:dyDescent="0.2">
      <c r="A335" s="154" t="s">
        <v>7</v>
      </c>
      <c r="B335" s="182">
        <f t="shared" ref="B335:AK335" si="82">B332+B333+B334</f>
        <v>2390</v>
      </c>
      <c r="C335" s="182">
        <f t="shared" si="82"/>
        <v>186</v>
      </c>
      <c r="D335" s="182">
        <f t="shared" si="82"/>
        <v>176</v>
      </c>
      <c r="E335" s="182">
        <f t="shared" si="82"/>
        <v>33</v>
      </c>
      <c r="F335" s="182">
        <f t="shared" si="82"/>
        <v>17</v>
      </c>
      <c r="G335" s="182">
        <f t="shared" si="82"/>
        <v>5</v>
      </c>
      <c r="H335" s="182">
        <f t="shared" si="82"/>
        <v>5</v>
      </c>
      <c r="I335" s="182">
        <f>I332+I333+I334</f>
        <v>19</v>
      </c>
      <c r="J335" s="182">
        <f>J332+J333+J334</f>
        <v>74</v>
      </c>
      <c r="K335" s="182">
        <f>K332+K333+K334</f>
        <v>0</v>
      </c>
      <c r="L335" s="182">
        <f t="shared" si="82"/>
        <v>79</v>
      </c>
      <c r="M335" s="182">
        <f t="shared" si="82"/>
        <v>16</v>
      </c>
      <c r="N335" s="182">
        <f t="shared" si="82"/>
        <v>3</v>
      </c>
      <c r="O335" s="182">
        <f t="shared" si="82"/>
        <v>0</v>
      </c>
      <c r="P335" s="182">
        <f t="shared" si="82"/>
        <v>35</v>
      </c>
      <c r="Q335" s="182">
        <f t="shared" si="82"/>
        <v>0</v>
      </c>
      <c r="R335" s="182">
        <f t="shared" si="82"/>
        <v>0</v>
      </c>
      <c r="S335" s="182">
        <f t="shared" si="82"/>
        <v>2</v>
      </c>
      <c r="T335" s="182">
        <f t="shared" si="82"/>
        <v>17</v>
      </c>
      <c r="U335" s="182">
        <f t="shared" si="82"/>
        <v>18</v>
      </c>
      <c r="V335" s="182">
        <f t="shared" si="82"/>
        <v>13</v>
      </c>
      <c r="W335" s="182">
        <f t="shared" si="82"/>
        <v>24</v>
      </c>
      <c r="X335" s="182">
        <f t="shared" si="82"/>
        <v>28</v>
      </c>
      <c r="Y335" s="182">
        <f t="shared" si="82"/>
        <v>8</v>
      </c>
      <c r="Z335" s="182">
        <f t="shared" si="82"/>
        <v>39</v>
      </c>
      <c r="AA335" s="182">
        <f t="shared" si="82"/>
        <v>17</v>
      </c>
      <c r="AB335" s="182">
        <f t="shared" si="82"/>
        <v>65</v>
      </c>
      <c r="AC335" s="182">
        <f t="shared" si="82"/>
        <v>0</v>
      </c>
      <c r="AD335" s="182">
        <f t="shared" si="82"/>
        <v>33</v>
      </c>
      <c r="AE335" s="182">
        <f t="shared" si="82"/>
        <v>3</v>
      </c>
      <c r="AF335" s="182">
        <f t="shared" si="82"/>
        <v>1</v>
      </c>
      <c r="AG335" s="182">
        <f t="shared" si="82"/>
        <v>239</v>
      </c>
      <c r="AH335" s="182">
        <f t="shared" si="82"/>
        <v>184</v>
      </c>
      <c r="AI335" s="182">
        <f t="shared" si="82"/>
        <v>109</v>
      </c>
      <c r="AJ335" s="182">
        <f t="shared" si="82"/>
        <v>44</v>
      </c>
      <c r="AK335" s="184">
        <f t="shared" si="82"/>
        <v>3882</v>
      </c>
      <c r="AL335" s="181"/>
      <c r="AM335" s="18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</row>
    <row r="336" spans="1:61" x14ac:dyDescent="0.2">
      <c r="A336" s="120" t="s">
        <v>69</v>
      </c>
      <c r="B336" s="185"/>
      <c r="C336" s="185"/>
      <c r="D336" s="185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0"/>
      <c r="AL336" s="181"/>
      <c r="AM336" s="18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</row>
    <row r="337" spans="1:61" x14ac:dyDescent="0.2">
      <c r="A337" s="110" t="s">
        <v>92</v>
      </c>
      <c r="B337" s="179">
        <f>B210-B274</f>
        <v>0</v>
      </c>
      <c r="C337" s="179">
        <f t="shared" ref="B337:AK339" si="83">C210-C274</f>
        <v>0</v>
      </c>
      <c r="D337" s="179">
        <f t="shared" si="83"/>
        <v>0</v>
      </c>
      <c r="E337" s="179">
        <f t="shared" si="83"/>
        <v>0</v>
      </c>
      <c r="F337" s="179">
        <f t="shared" si="83"/>
        <v>0</v>
      </c>
      <c r="G337" s="179">
        <f t="shared" si="83"/>
        <v>0</v>
      </c>
      <c r="H337" s="179">
        <f t="shared" si="83"/>
        <v>0</v>
      </c>
      <c r="I337" s="179">
        <f t="shared" si="83"/>
        <v>0</v>
      </c>
      <c r="J337" s="179">
        <f t="shared" si="83"/>
        <v>0</v>
      </c>
      <c r="K337" s="179">
        <f t="shared" si="83"/>
        <v>0</v>
      </c>
      <c r="L337" s="179">
        <f t="shared" si="83"/>
        <v>0</v>
      </c>
      <c r="M337" s="179">
        <f t="shared" si="83"/>
        <v>0</v>
      </c>
      <c r="N337" s="179">
        <f t="shared" si="83"/>
        <v>0</v>
      </c>
      <c r="O337" s="179">
        <f t="shared" si="83"/>
        <v>0</v>
      </c>
      <c r="P337" s="179">
        <f t="shared" si="83"/>
        <v>0</v>
      </c>
      <c r="Q337" s="179">
        <f t="shared" si="83"/>
        <v>0</v>
      </c>
      <c r="R337" s="179">
        <f t="shared" si="83"/>
        <v>0</v>
      </c>
      <c r="S337" s="179">
        <f t="shared" si="83"/>
        <v>0</v>
      </c>
      <c r="T337" s="179">
        <f t="shared" si="83"/>
        <v>0</v>
      </c>
      <c r="U337" s="179">
        <f t="shared" si="83"/>
        <v>0</v>
      </c>
      <c r="V337" s="179">
        <f t="shared" si="83"/>
        <v>0</v>
      </c>
      <c r="W337" s="179">
        <f t="shared" si="83"/>
        <v>0</v>
      </c>
      <c r="X337" s="179">
        <f t="shared" si="83"/>
        <v>0</v>
      </c>
      <c r="Y337" s="179">
        <f t="shared" si="83"/>
        <v>0</v>
      </c>
      <c r="Z337" s="179">
        <f t="shared" si="83"/>
        <v>0</v>
      </c>
      <c r="AA337" s="179">
        <f t="shared" si="83"/>
        <v>0</v>
      </c>
      <c r="AB337" s="179">
        <f t="shared" si="83"/>
        <v>0</v>
      </c>
      <c r="AC337" s="179">
        <f t="shared" si="83"/>
        <v>0</v>
      </c>
      <c r="AD337" s="179">
        <f t="shared" si="83"/>
        <v>0</v>
      </c>
      <c r="AE337" s="179">
        <f t="shared" si="83"/>
        <v>0</v>
      </c>
      <c r="AF337" s="179">
        <f t="shared" si="83"/>
        <v>0</v>
      </c>
      <c r="AG337" s="179">
        <f t="shared" si="83"/>
        <v>0</v>
      </c>
      <c r="AH337" s="179">
        <f t="shared" si="83"/>
        <v>0</v>
      </c>
      <c r="AI337" s="179">
        <f t="shared" si="83"/>
        <v>0</v>
      </c>
      <c r="AJ337" s="179">
        <f t="shared" si="83"/>
        <v>0</v>
      </c>
      <c r="AK337" s="180">
        <f t="shared" si="83"/>
        <v>0</v>
      </c>
      <c r="AL337" s="181"/>
      <c r="AM337" s="18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</row>
    <row r="338" spans="1:61" x14ac:dyDescent="0.2">
      <c r="A338" s="110" t="s">
        <v>93</v>
      </c>
      <c r="B338" s="179">
        <f t="shared" si="83"/>
        <v>0</v>
      </c>
      <c r="C338" s="179">
        <f t="shared" si="83"/>
        <v>0</v>
      </c>
      <c r="D338" s="179">
        <f t="shared" si="83"/>
        <v>0</v>
      </c>
      <c r="E338" s="179">
        <f t="shared" si="83"/>
        <v>0</v>
      </c>
      <c r="F338" s="179">
        <f t="shared" si="83"/>
        <v>0</v>
      </c>
      <c r="G338" s="179">
        <f t="shared" si="83"/>
        <v>0</v>
      </c>
      <c r="H338" s="179">
        <f t="shared" si="83"/>
        <v>0</v>
      </c>
      <c r="I338" s="179">
        <f t="shared" si="83"/>
        <v>0</v>
      </c>
      <c r="J338" s="179">
        <f t="shared" si="83"/>
        <v>0</v>
      </c>
      <c r="K338" s="179">
        <f t="shared" si="83"/>
        <v>0</v>
      </c>
      <c r="L338" s="179">
        <f t="shared" si="83"/>
        <v>0</v>
      </c>
      <c r="M338" s="179">
        <f t="shared" si="83"/>
        <v>0</v>
      </c>
      <c r="N338" s="179">
        <f t="shared" si="83"/>
        <v>0</v>
      </c>
      <c r="O338" s="179">
        <f t="shared" si="83"/>
        <v>0</v>
      </c>
      <c r="P338" s="179">
        <f t="shared" si="83"/>
        <v>0</v>
      </c>
      <c r="Q338" s="179">
        <f t="shared" si="83"/>
        <v>0</v>
      </c>
      <c r="R338" s="179">
        <f t="shared" si="83"/>
        <v>0</v>
      </c>
      <c r="S338" s="179">
        <f t="shared" si="83"/>
        <v>0</v>
      </c>
      <c r="T338" s="179">
        <f t="shared" si="83"/>
        <v>0</v>
      </c>
      <c r="U338" s="179">
        <f t="shared" si="83"/>
        <v>0</v>
      </c>
      <c r="V338" s="179">
        <f t="shared" si="83"/>
        <v>0</v>
      </c>
      <c r="W338" s="179">
        <f t="shared" si="83"/>
        <v>0</v>
      </c>
      <c r="X338" s="179">
        <f t="shared" si="83"/>
        <v>0</v>
      </c>
      <c r="Y338" s="179">
        <f t="shared" si="83"/>
        <v>0</v>
      </c>
      <c r="Z338" s="179">
        <f t="shared" si="83"/>
        <v>0</v>
      </c>
      <c r="AA338" s="179">
        <f t="shared" si="83"/>
        <v>0</v>
      </c>
      <c r="AB338" s="179">
        <f t="shared" si="83"/>
        <v>0</v>
      </c>
      <c r="AC338" s="179">
        <f t="shared" si="83"/>
        <v>0</v>
      </c>
      <c r="AD338" s="179">
        <f t="shared" si="83"/>
        <v>0</v>
      </c>
      <c r="AE338" s="179">
        <f t="shared" si="83"/>
        <v>0</v>
      </c>
      <c r="AF338" s="179">
        <f t="shared" si="83"/>
        <v>0</v>
      </c>
      <c r="AG338" s="189">
        <f t="shared" si="83"/>
        <v>0</v>
      </c>
      <c r="AH338" s="179">
        <f t="shared" si="83"/>
        <v>0</v>
      </c>
      <c r="AI338" s="179">
        <f t="shared" si="83"/>
        <v>0</v>
      </c>
      <c r="AJ338" s="179">
        <f t="shared" si="83"/>
        <v>0</v>
      </c>
      <c r="AK338" s="180">
        <f t="shared" si="83"/>
        <v>0</v>
      </c>
      <c r="AL338" s="181"/>
      <c r="AM338" s="18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</row>
    <row r="339" spans="1:61" x14ac:dyDescent="0.2">
      <c r="A339" s="110" t="s">
        <v>1</v>
      </c>
      <c r="B339" s="179">
        <f t="shared" si="83"/>
        <v>0</v>
      </c>
      <c r="C339" s="179">
        <f t="shared" si="83"/>
        <v>0</v>
      </c>
      <c r="D339" s="179">
        <f t="shared" si="83"/>
        <v>0</v>
      </c>
      <c r="E339" s="179">
        <f t="shared" si="83"/>
        <v>0</v>
      </c>
      <c r="F339" s="179">
        <f t="shared" si="83"/>
        <v>0</v>
      </c>
      <c r="G339" s="179">
        <f t="shared" si="83"/>
        <v>0</v>
      </c>
      <c r="H339" s="179">
        <f t="shared" si="83"/>
        <v>0</v>
      </c>
      <c r="I339" s="179">
        <f t="shared" si="83"/>
        <v>0</v>
      </c>
      <c r="J339" s="179">
        <f t="shared" si="83"/>
        <v>0</v>
      </c>
      <c r="K339" s="179">
        <f t="shared" si="83"/>
        <v>0</v>
      </c>
      <c r="L339" s="179">
        <f t="shared" si="83"/>
        <v>0</v>
      </c>
      <c r="M339" s="179">
        <f t="shared" si="83"/>
        <v>0</v>
      </c>
      <c r="N339" s="179">
        <f t="shared" si="83"/>
        <v>0</v>
      </c>
      <c r="O339" s="179">
        <f t="shared" si="83"/>
        <v>0</v>
      </c>
      <c r="P339" s="179">
        <f t="shared" si="83"/>
        <v>0</v>
      </c>
      <c r="Q339" s="179">
        <f t="shared" si="83"/>
        <v>0</v>
      </c>
      <c r="R339" s="179">
        <f t="shared" si="83"/>
        <v>0</v>
      </c>
      <c r="S339" s="179">
        <f t="shared" si="83"/>
        <v>0</v>
      </c>
      <c r="T339" s="179">
        <f t="shared" si="83"/>
        <v>0</v>
      </c>
      <c r="U339" s="179">
        <f t="shared" si="83"/>
        <v>0</v>
      </c>
      <c r="V339" s="179">
        <f t="shared" si="83"/>
        <v>0</v>
      </c>
      <c r="W339" s="179">
        <f t="shared" si="83"/>
        <v>0</v>
      </c>
      <c r="X339" s="179">
        <f t="shared" si="83"/>
        <v>0</v>
      </c>
      <c r="Y339" s="179">
        <f t="shared" si="83"/>
        <v>0</v>
      </c>
      <c r="Z339" s="179">
        <f t="shared" si="83"/>
        <v>0</v>
      </c>
      <c r="AA339" s="179">
        <f t="shared" si="83"/>
        <v>0</v>
      </c>
      <c r="AB339" s="179">
        <f t="shared" si="83"/>
        <v>0</v>
      </c>
      <c r="AC339" s="179">
        <f t="shared" si="83"/>
        <v>0</v>
      </c>
      <c r="AD339" s="179">
        <f t="shared" si="83"/>
        <v>0</v>
      </c>
      <c r="AE339" s="179">
        <f t="shared" si="83"/>
        <v>0</v>
      </c>
      <c r="AF339" s="179">
        <f t="shared" si="83"/>
        <v>0</v>
      </c>
      <c r="AG339" s="179">
        <f t="shared" si="83"/>
        <v>0</v>
      </c>
      <c r="AH339" s="179">
        <f t="shared" si="83"/>
        <v>0</v>
      </c>
      <c r="AI339" s="179">
        <f t="shared" si="83"/>
        <v>0</v>
      </c>
      <c r="AJ339" s="179">
        <f t="shared" si="83"/>
        <v>0</v>
      </c>
      <c r="AK339" s="180">
        <f t="shared" si="83"/>
        <v>0</v>
      </c>
      <c r="AL339" s="181"/>
      <c r="AM339" s="18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</row>
    <row r="340" spans="1:61" x14ac:dyDescent="0.2">
      <c r="A340" s="154" t="s">
        <v>7</v>
      </c>
      <c r="B340" s="182">
        <f t="shared" ref="B340:AK340" si="84">B337+B338+B339</f>
        <v>0</v>
      </c>
      <c r="C340" s="182">
        <f t="shared" si="84"/>
        <v>0</v>
      </c>
      <c r="D340" s="182">
        <f t="shared" si="84"/>
        <v>0</v>
      </c>
      <c r="E340" s="182">
        <f t="shared" si="84"/>
        <v>0</v>
      </c>
      <c r="F340" s="182">
        <f t="shared" si="84"/>
        <v>0</v>
      </c>
      <c r="G340" s="182">
        <f t="shared" si="84"/>
        <v>0</v>
      </c>
      <c r="H340" s="182">
        <f t="shared" si="84"/>
        <v>0</v>
      </c>
      <c r="I340" s="182">
        <f>I337+I338+I339</f>
        <v>0</v>
      </c>
      <c r="J340" s="182">
        <f>J337+J338+J339</f>
        <v>0</v>
      </c>
      <c r="K340" s="182">
        <f>K337+K338+K339</f>
        <v>0</v>
      </c>
      <c r="L340" s="182">
        <f t="shared" si="84"/>
        <v>0</v>
      </c>
      <c r="M340" s="182">
        <f t="shared" si="84"/>
        <v>0</v>
      </c>
      <c r="N340" s="182">
        <f t="shared" si="84"/>
        <v>0</v>
      </c>
      <c r="O340" s="182">
        <f t="shared" si="84"/>
        <v>0</v>
      </c>
      <c r="P340" s="182">
        <f t="shared" si="84"/>
        <v>0</v>
      </c>
      <c r="Q340" s="182">
        <f t="shared" si="84"/>
        <v>0</v>
      </c>
      <c r="R340" s="182">
        <f t="shared" si="84"/>
        <v>0</v>
      </c>
      <c r="S340" s="182">
        <f t="shared" si="84"/>
        <v>0</v>
      </c>
      <c r="T340" s="182">
        <f t="shared" si="84"/>
        <v>0</v>
      </c>
      <c r="U340" s="182">
        <f t="shared" si="84"/>
        <v>0</v>
      </c>
      <c r="V340" s="182">
        <f t="shared" si="84"/>
        <v>0</v>
      </c>
      <c r="W340" s="182">
        <f t="shared" si="84"/>
        <v>0</v>
      </c>
      <c r="X340" s="182">
        <f t="shared" si="84"/>
        <v>0</v>
      </c>
      <c r="Y340" s="182">
        <f t="shared" si="84"/>
        <v>0</v>
      </c>
      <c r="Z340" s="182">
        <f t="shared" si="84"/>
        <v>0</v>
      </c>
      <c r="AA340" s="182">
        <f t="shared" si="84"/>
        <v>0</v>
      </c>
      <c r="AB340" s="182">
        <f t="shared" si="84"/>
        <v>0</v>
      </c>
      <c r="AC340" s="182">
        <f t="shared" si="84"/>
        <v>0</v>
      </c>
      <c r="AD340" s="182">
        <f t="shared" si="84"/>
        <v>0</v>
      </c>
      <c r="AE340" s="182">
        <f t="shared" si="84"/>
        <v>0</v>
      </c>
      <c r="AF340" s="182">
        <f t="shared" si="84"/>
        <v>0</v>
      </c>
      <c r="AG340" s="182">
        <f t="shared" si="84"/>
        <v>0</v>
      </c>
      <c r="AH340" s="182">
        <f t="shared" si="84"/>
        <v>0</v>
      </c>
      <c r="AI340" s="182">
        <f t="shared" si="84"/>
        <v>0</v>
      </c>
      <c r="AJ340" s="182">
        <f t="shared" si="84"/>
        <v>0</v>
      </c>
      <c r="AK340" s="184">
        <f t="shared" si="84"/>
        <v>0</v>
      </c>
      <c r="AL340" s="181"/>
      <c r="AM340" s="18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</row>
    <row r="341" spans="1:61" x14ac:dyDescent="0.2">
      <c r="A341" s="120" t="s">
        <v>70</v>
      </c>
      <c r="B341" s="185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0"/>
      <c r="AL341" s="181"/>
      <c r="AM341" s="18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</row>
    <row r="342" spans="1:61" x14ac:dyDescent="0.2">
      <c r="A342" s="110" t="s">
        <v>92</v>
      </c>
      <c r="B342" s="179">
        <f t="shared" ref="B342:AK344" si="85">B215-B279</f>
        <v>0</v>
      </c>
      <c r="C342" s="179">
        <f t="shared" si="85"/>
        <v>0</v>
      </c>
      <c r="D342" s="179">
        <f t="shared" si="85"/>
        <v>0</v>
      </c>
      <c r="E342" s="179">
        <f t="shared" si="85"/>
        <v>0</v>
      </c>
      <c r="F342" s="179">
        <f t="shared" si="85"/>
        <v>0</v>
      </c>
      <c r="G342" s="179">
        <f t="shared" si="85"/>
        <v>0</v>
      </c>
      <c r="H342" s="179">
        <f t="shared" si="85"/>
        <v>0</v>
      </c>
      <c r="I342" s="179">
        <f t="shared" si="85"/>
        <v>0</v>
      </c>
      <c r="J342" s="179">
        <f t="shared" si="85"/>
        <v>0</v>
      </c>
      <c r="K342" s="179">
        <f t="shared" si="85"/>
        <v>0</v>
      </c>
      <c r="L342" s="179">
        <f t="shared" si="85"/>
        <v>0</v>
      </c>
      <c r="M342" s="179">
        <f t="shared" si="85"/>
        <v>0</v>
      </c>
      <c r="N342" s="179">
        <f t="shared" si="85"/>
        <v>0</v>
      </c>
      <c r="O342" s="179">
        <f t="shared" si="85"/>
        <v>0</v>
      </c>
      <c r="P342" s="179">
        <f t="shared" si="85"/>
        <v>0</v>
      </c>
      <c r="Q342" s="179">
        <f t="shared" si="85"/>
        <v>0</v>
      </c>
      <c r="R342" s="179">
        <f t="shared" si="85"/>
        <v>0</v>
      </c>
      <c r="S342" s="179">
        <f t="shared" si="85"/>
        <v>0</v>
      </c>
      <c r="T342" s="179">
        <f t="shared" si="85"/>
        <v>0</v>
      </c>
      <c r="U342" s="179">
        <f t="shared" si="85"/>
        <v>0</v>
      </c>
      <c r="V342" s="179">
        <f t="shared" si="85"/>
        <v>0</v>
      </c>
      <c r="W342" s="179">
        <f t="shared" si="85"/>
        <v>0</v>
      </c>
      <c r="X342" s="179">
        <f t="shared" si="85"/>
        <v>0</v>
      </c>
      <c r="Y342" s="179">
        <f t="shared" si="85"/>
        <v>0</v>
      </c>
      <c r="Z342" s="179">
        <f t="shared" si="85"/>
        <v>0</v>
      </c>
      <c r="AA342" s="179">
        <f t="shared" si="85"/>
        <v>0</v>
      </c>
      <c r="AB342" s="179">
        <f t="shared" si="85"/>
        <v>0</v>
      </c>
      <c r="AC342" s="179">
        <f t="shared" si="85"/>
        <v>0</v>
      </c>
      <c r="AD342" s="179">
        <f t="shared" si="85"/>
        <v>0</v>
      </c>
      <c r="AE342" s="179">
        <f t="shared" si="85"/>
        <v>0</v>
      </c>
      <c r="AF342" s="179">
        <f t="shared" si="85"/>
        <v>0</v>
      </c>
      <c r="AG342" s="179">
        <f t="shared" si="85"/>
        <v>0</v>
      </c>
      <c r="AH342" s="179">
        <f t="shared" si="85"/>
        <v>0</v>
      </c>
      <c r="AI342" s="179">
        <f t="shared" si="85"/>
        <v>0</v>
      </c>
      <c r="AJ342" s="179">
        <f t="shared" si="85"/>
        <v>0</v>
      </c>
      <c r="AK342" s="180">
        <f t="shared" si="85"/>
        <v>0</v>
      </c>
      <c r="AL342" s="181"/>
      <c r="AM342" s="18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</row>
    <row r="343" spans="1:61" x14ac:dyDescent="0.2">
      <c r="A343" s="110" t="s">
        <v>93</v>
      </c>
      <c r="B343" s="179">
        <f t="shared" si="85"/>
        <v>0</v>
      </c>
      <c r="C343" s="179">
        <f t="shared" si="85"/>
        <v>0</v>
      </c>
      <c r="D343" s="179">
        <f t="shared" si="85"/>
        <v>0</v>
      </c>
      <c r="E343" s="179">
        <f t="shared" si="85"/>
        <v>0</v>
      </c>
      <c r="F343" s="179">
        <f t="shared" si="85"/>
        <v>0</v>
      </c>
      <c r="G343" s="179">
        <f t="shared" si="85"/>
        <v>0</v>
      </c>
      <c r="H343" s="179">
        <f t="shared" si="85"/>
        <v>0</v>
      </c>
      <c r="I343" s="179">
        <f t="shared" si="85"/>
        <v>0</v>
      </c>
      <c r="J343" s="179">
        <f t="shared" si="85"/>
        <v>0</v>
      </c>
      <c r="K343" s="179">
        <f t="shared" si="85"/>
        <v>0</v>
      </c>
      <c r="L343" s="179">
        <f t="shared" si="85"/>
        <v>0</v>
      </c>
      <c r="M343" s="179">
        <f t="shared" si="85"/>
        <v>0</v>
      </c>
      <c r="N343" s="179">
        <f t="shared" si="85"/>
        <v>0</v>
      </c>
      <c r="O343" s="179">
        <f t="shared" si="85"/>
        <v>0</v>
      </c>
      <c r="P343" s="179">
        <f t="shared" si="85"/>
        <v>0</v>
      </c>
      <c r="Q343" s="179">
        <f t="shared" si="85"/>
        <v>0</v>
      </c>
      <c r="R343" s="179">
        <f t="shared" si="85"/>
        <v>0</v>
      </c>
      <c r="S343" s="179">
        <f t="shared" si="85"/>
        <v>0</v>
      </c>
      <c r="T343" s="179">
        <f t="shared" si="85"/>
        <v>0</v>
      </c>
      <c r="U343" s="179">
        <f t="shared" si="85"/>
        <v>0</v>
      </c>
      <c r="V343" s="179">
        <f t="shared" si="85"/>
        <v>0</v>
      </c>
      <c r="W343" s="179">
        <f t="shared" si="85"/>
        <v>0</v>
      </c>
      <c r="X343" s="179">
        <f t="shared" si="85"/>
        <v>0</v>
      </c>
      <c r="Y343" s="179">
        <f t="shared" si="85"/>
        <v>0</v>
      </c>
      <c r="Z343" s="179">
        <f t="shared" si="85"/>
        <v>0</v>
      </c>
      <c r="AA343" s="179">
        <f t="shared" si="85"/>
        <v>0</v>
      </c>
      <c r="AB343" s="179">
        <f t="shared" si="85"/>
        <v>0</v>
      </c>
      <c r="AC343" s="179">
        <f t="shared" si="85"/>
        <v>0</v>
      </c>
      <c r="AD343" s="179">
        <f t="shared" si="85"/>
        <v>0</v>
      </c>
      <c r="AE343" s="179">
        <f t="shared" si="85"/>
        <v>0</v>
      </c>
      <c r="AF343" s="179">
        <f t="shared" si="85"/>
        <v>0</v>
      </c>
      <c r="AG343" s="179">
        <f t="shared" si="85"/>
        <v>0</v>
      </c>
      <c r="AH343" s="179">
        <f t="shared" si="85"/>
        <v>0</v>
      </c>
      <c r="AI343" s="179">
        <f t="shared" si="85"/>
        <v>0</v>
      </c>
      <c r="AJ343" s="179">
        <f t="shared" si="85"/>
        <v>0</v>
      </c>
      <c r="AK343" s="180">
        <f t="shared" si="85"/>
        <v>0</v>
      </c>
      <c r="AL343" s="181"/>
      <c r="AM343" s="18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</row>
    <row r="344" spans="1:61" x14ac:dyDescent="0.2">
      <c r="A344" s="110" t="s">
        <v>1</v>
      </c>
      <c r="B344" s="179">
        <f t="shared" si="85"/>
        <v>0</v>
      </c>
      <c r="C344" s="179">
        <f t="shared" si="85"/>
        <v>0</v>
      </c>
      <c r="D344" s="179">
        <f t="shared" si="85"/>
        <v>0</v>
      </c>
      <c r="E344" s="179">
        <f t="shared" si="85"/>
        <v>0</v>
      </c>
      <c r="F344" s="179">
        <f t="shared" si="85"/>
        <v>0</v>
      </c>
      <c r="G344" s="179">
        <f t="shared" si="85"/>
        <v>0</v>
      </c>
      <c r="H344" s="179">
        <f t="shared" si="85"/>
        <v>0</v>
      </c>
      <c r="I344" s="179">
        <f t="shared" si="85"/>
        <v>0</v>
      </c>
      <c r="J344" s="179">
        <f t="shared" si="85"/>
        <v>0</v>
      </c>
      <c r="K344" s="179">
        <f t="shared" si="85"/>
        <v>0</v>
      </c>
      <c r="L344" s="179">
        <f t="shared" si="85"/>
        <v>0</v>
      </c>
      <c r="M344" s="179">
        <f t="shared" si="85"/>
        <v>0</v>
      </c>
      <c r="N344" s="179">
        <f t="shared" si="85"/>
        <v>0</v>
      </c>
      <c r="O344" s="179">
        <f t="shared" si="85"/>
        <v>0</v>
      </c>
      <c r="P344" s="179">
        <f t="shared" si="85"/>
        <v>0</v>
      </c>
      <c r="Q344" s="179">
        <f t="shared" si="85"/>
        <v>0</v>
      </c>
      <c r="R344" s="179"/>
      <c r="S344" s="179">
        <f t="shared" si="85"/>
        <v>0</v>
      </c>
      <c r="T344" s="179">
        <f t="shared" si="85"/>
        <v>0</v>
      </c>
      <c r="U344" s="179">
        <f t="shared" si="85"/>
        <v>0</v>
      </c>
      <c r="V344" s="179">
        <f t="shared" si="85"/>
        <v>0</v>
      </c>
      <c r="W344" s="179">
        <f t="shared" si="85"/>
        <v>0</v>
      </c>
      <c r="X344" s="179">
        <f t="shared" si="85"/>
        <v>0</v>
      </c>
      <c r="Y344" s="179">
        <f t="shared" si="85"/>
        <v>0</v>
      </c>
      <c r="Z344" s="179">
        <f t="shared" si="85"/>
        <v>0</v>
      </c>
      <c r="AA344" s="179">
        <f t="shared" si="85"/>
        <v>0</v>
      </c>
      <c r="AB344" s="179">
        <f t="shared" si="85"/>
        <v>0</v>
      </c>
      <c r="AC344" s="179">
        <f t="shared" si="85"/>
        <v>0</v>
      </c>
      <c r="AD344" s="179">
        <f t="shared" si="85"/>
        <v>0</v>
      </c>
      <c r="AE344" s="179">
        <f t="shared" si="85"/>
        <v>0</v>
      </c>
      <c r="AF344" s="179">
        <f t="shared" si="85"/>
        <v>0</v>
      </c>
      <c r="AG344" s="179">
        <f t="shared" si="85"/>
        <v>0</v>
      </c>
      <c r="AH344" s="179">
        <f t="shared" si="85"/>
        <v>0</v>
      </c>
      <c r="AI344" s="179">
        <f t="shared" si="85"/>
        <v>0</v>
      </c>
      <c r="AJ344" s="179">
        <f t="shared" si="85"/>
        <v>0</v>
      </c>
      <c r="AK344" s="180">
        <f t="shared" si="85"/>
        <v>0</v>
      </c>
      <c r="AL344" s="181"/>
      <c r="AM344" s="18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</row>
    <row r="345" spans="1:61" x14ac:dyDescent="0.2">
      <c r="A345" s="154" t="s">
        <v>7</v>
      </c>
      <c r="B345" s="182">
        <f t="shared" ref="B345:AK345" si="86">B342+B343+B344</f>
        <v>0</v>
      </c>
      <c r="C345" s="182">
        <f t="shared" si="86"/>
        <v>0</v>
      </c>
      <c r="D345" s="182">
        <f t="shared" si="86"/>
        <v>0</v>
      </c>
      <c r="E345" s="182">
        <f t="shared" si="86"/>
        <v>0</v>
      </c>
      <c r="F345" s="182">
        <f t="shared" si="86"/>
        <v>0</v>
      </c>
      <c r="G345" s="182">
        <f t="shared" si="86"/>
        <v>0</v>
      </c>
      <c r="H345" s="182">
        <f t="shared" si="86"/>
        <v>0</v>
      </c>
      <c r="I345" s="182">
        <f>I342+I343+I344</f>
        <v>0</v>
      </c>
      <c r="J345" s="182">
        <f>J342+J343+J344</f>
        <v>0</v>
      </c>
      <c r="K345" s="182">
        <f>K342+K343+K344</f>
        <v>0</v>
      </c>
      <c r="L345" s="182">
        <f t="shared" si="86"/>
        <v>0</v>
      </c>
      <c r="M345" s="182">
        <f t="shared" si="86"/>
        <v>0</v>
      </c>
      <c r="N345" s="182">
        <f t="shared" si="86"/>
        <v>0</v>
      </c>
      <c r="O345" s="182">
        <f t="shared" si="86"/>
        <v>0</v>
      </c>
      <c r="P345" s="182">
        <f t="shared" si="86"/>
        <v>0</v>
      </c>
      <c r="Q345" s="182">
        <f t="shared" si="86"/>
        <v>0</v>
      </c>
      <c r="R345" s="182">
        <f t="shared" si="86"/>
        <v>0</v>
      </c>
      <c r="S345" s="182">
        <f t="shared" si="86"/>
        <v>0</v>
      </c>
      <c r="T345" s="182">
        <f t="shared" si="86"/>
        <v>0</v>
      </c>
      <c r="U345" s="182">
        <f t="shared" si="86"/>
        <v>0</v>
      </c>
      <c r="V345" s="182">
        <f t="shared" si="86"/>
        <v>0</v>
      </c>
      <c r="W345" s="182">
        <f t="shared" si="86"/>
        <v>0</v>
      </c>
      <c r="X345" s="182">
        <f t="shared" si="86"/>
        <v>0</v>
      </c>
      <c r="Y345" s="182">
        <f t="shared" si="86"/>
        <v>0</v>
      </c>
      <c r="Z345" s="182">
        <f t="shared" si="86"/>
        <v>0</v>
      </c>
      <c r="AA345" s="182">
        <f t="shared" si="86"/>
        <v>0</v>
      </c>
      <c r="AB345" s="182">
        <f t="shared" si="86"/>
        <v>0</v>
      </c>
      <c r="AC345" s="182">
        <f t="shared" si="86"/>
        <v>0</v>
      </c>
      <c r="AD345" s="182">
        <f t="shared" si="86"/>
        <v>0</v>
      </c>
      <c r="AE345" s="182">
        <f t="shared" si="86"/>
        <v>0</v>
      </c>
      <c r="AF345" s="182">
        <f t="shared" si="86"/>
        <v>0</v>
      </c>
      <c r="AG345" s="182">
        <f t="shared" si="86"/>
        <v>0</v>
      </c>
      <c r="AH345" s="182">
        <f t="shared" si="86"/>
        <v>0</v>
      </c>
      <c r="AI345" s="182">
        <f t="shared" si="86"/>
        <v>0</v>
      </c>
      <c r="AJ345" s="182">
        <f t="shared" si="86"/>
        <v>0</v>
      </c>
      <c r="AK345" s="184">
        <f t="shared" si="86"/>
        <v>0</v>
      </c>
      <c r="AL345" s="181"/>
      <c r="AM345" s="18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</row>
    <row r="346" spans="1:61" x14ac:dyDescent="0.2">
      <c r="A346" s="120" t="s">
        <v>71</v>
      </c>
      <c r="B346" s="185"/>
      <c r="C346" s="185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85"/>
      <c r="AI346" s="185"/>
      <c r="AJ346" s="185"/>
      <c r="AK346" s="180"/>
      <c r="AL346" s="181"/>
      <c r="AM346" s="18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</row>
    <row r="347" spans="1:61" x14ac:dyDescent="0.2">
      <c r="A347" s="110" t="s">
        <v>92</v>
      </c>
      <c r="B347" s="179">
        <f t="shared" ref="B347:AJ347" si="87">B220-B284</f>
        <v>0</v>
      </c>
      <c r="C347" s="179">
        <f t="shared" si="87"/>
        <v>0</v>
      </c>
      <c r="D347" s="179">
        <f t="shared" si="87"/>
        <v>0</v>
      </c>
      <c r="E347" s="179">
        <f t="shared" si="87"/>
        <v>0</v>
      </c>
      <c r="F347" s="179">
        <f t="shared" si="87"/>
        <v>0</v>
      </c>
      <c r="G347" s="179">
        <f t="shared" si="87"/>
        <v>0</v>
      </c>
      <c r="H347" s="179">
        <f t="shared" si="87"/>
        <v>0</v>
      </c>
      <c r="I347" s="179">
        <f t="shared" si="87"/>
        <v>0</v>
      </c>
      <c r="J347" s="179">
        <f t="shared" si="87"/>
        <v>0</v>
      </c>
      <c r="K347" s="179">
        <f t="shared" si="87"/>
        <v>0</v>
      </c>
      <c r="L347" s="179">
        <f t="shared" si="87"/>
        <v>0</v>
      </c>
      <c r="M347" s="179">
        <f t="shared" si="87"/>
        <v>0</v>
      </c>
      <c r="N347" s="179">
        <f t="shared" si="87"/>
        <v>0</v>
      </c>
      <c r="O347" s="179">
        <f t="shared" si="87"/>
        <v>0</v>
      </c>
      <c r="P347" s="179">
        <f t="shared" si="87"/>
        <v>0</v>
      </c>
      <c r="Q347" s="179">
        <f t="shared" si="87"/>
        <v>0</v>
      </c>
      <c r="R347" s="179">
        <f t="shared" si="87"/>
        <v>0</v>
      </c>
      <c r="S347" s="179">
        <f t="shared" si="87"/>
        <v>0</v>
      </c>
      <c r="T347" s="179">
        <f t="shared" si="87"/>
        <v>0</v>
      </c>
      <c r="U347" s="179">
        <f t="shared" si="87"/>
        <v>0</v>
      </c>
      <c r="V347" s="179">
        <f t="shared" si="87"/>
        <v>0</v>
      </c>
      <c r="W347" s="179">
        <f t="shared" si="87"/>
        <v>0</v>
      </c>
      <c r="X347" s="179">
        <f t="shared" si="87"/>
        <v>0</v>
      </c>
      <c r="Y347" s="179">
        <f t="shared" si="87"/>
        <v>0</v>
      </c>
      <c r="Z347" s="179">
        <f t="shared" si="87"/>
        <v>0</v>
      </c>
      <c r="AA347" s="179">
        <f t="shared" si="87"/>
        <v>0</v>
      </c>
      <c r="AB347" s="179">
        <f t="shared" si="87"/>
        <v>0</v>
      </c>
      <c r="AC347" s="179">
        <f t="shared" si="87"/>
        <v>0</v>
      </c>
      <c r="AD347" s="179">
        <f t="shared" si="87"/>
        <v>0</v>
      </c>
      <c r="AE347" s="179">
        <f t="shared" si="87"/>
        <v>0</v>
      </c>
      <c r="AF347" s="179">
        <f t="shared" si="87"/>
        <v>0</v>
      </c>
      <c r="AG347" s="179">
        <f t="shared" si="87"/>
        <v>0</v>
      </c>
      <c r="AH347" s="179">
        <f t="shared" si="87"/>
        <v>0</v>
      </c>
      <c r="AI347" s="179">
        <f t="shared" si="87"/>
        <v>0</v>
      </c>
      <c r="AJ347" s="179">
        <f t="shared" si="87"/>
        <v>0</v>
      </c>
      <c r="AK347" s="180">
        <f t="shared" ref="B347:AK349" si="88">AK220-AK284</f>
        <v>0</v>
      </c>
      <c r="AL347" s="181"/>
      <c r="AM347" s="18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</row>
    <row r="348" spans="1:61" x14ac:dyDescent="0.2">
      <c r="A348" s="110" t="s">
        <v>93</v>
      </c>
      <c r="B348" s="179">
        <f t="shared" si="88"/>
        <v>0</v>
      </c>
      <c r="C348" s="179">
        <f t="shared" si="88"/>
        <v>0</v>
      </c>
      <c r="D348" s="179">
        <f t="shared" si="88"/>
        <v>0</v>
      </c>
      <c r="E348" s="179">
        <f t="shared" si="88"/>
        <v>0</v>
      </c>
      <c r="F348" s="179">
        <f t="shared" si="88"/>
        <v>0</v>
      </c>
      <c r="G348" s="179">
        <f t="shared" si="88"/>
        <v>0</v>
      </c>
      <c r="H348" s="179">
        <f t="shared" si="88"/>
        <v>0</v>
      </c>
      <c r="I348" s="179">
        <f t="shared" si="88"/>
        <v>0</v>
      </c>
      <c r="J348" s="179">
        <f t="shared" si="88"/>
        <v>0</v>
      </c>
      <c r="K348" s="179">
        <f t="shared" si="88"/>
        <v>0</v>
      </c>
      <c r="L348" s="179">
        <f t="shared" si="88"/>
        <v>0</v>
      </c>
      <c r="M348" s="179">
        <f t="shared" si="88"/>
        <v>0</v>
      </c>
      <c r="N348" s="179">
        <f t="shared" si="88"/>
        <v>0</v>
      </c>
      <c r="O348" s="179">
        <f t="shared" si="88"/>
        <v>0</v>
      </c>
      <c r="P348" s="179">
        <f t="shared" si="88"/>
        <v>0</v>
      </c>
      <c r="Q348" s="179">
        <f t="shared" si="88"/>
        <v>0</v>
      </c>
      <c r="R348" s="179">
        <f t="shared" si="88"/>
        <v>0</v>
      </c>
      <c r="S348" s="179">
        <f t="shared" si="88"/>
        <v>0</v>
      </c>
      <c r="T348" s="179">
        <f t="shared" si="88"/>
        <v>0</v>
      </c>
      <c r="U348" s="179">
        <f t="shared" si="88"/>
        <v>0</v>
      </c>
      <c r="V348" s="179">
        <f t="shared" si="88"/>
        <v>0</v>
      </c>
      <c r="W348" s="179">
        <f t="shared" si="88"/>
        <v>0</v>
      </c>
      <c r="X348" s="179">
        <f t="shared" si="88"/>
        <v>0</v>
      </c>
      <c r="Y348" s="179">
        <f t="shared" si="88"/>
        <v>0</v>
      </c>
      <c r="Z348" s="179">
        <f t="shared" si="88"/>
        <v>0</v>
      </c>
      <c r="AA348" s="179">
        <f t="shared" si="88"/>
        <v>0</v>
      </c>
      <c r="AB348" s="179">
        <f t="shared" si="88"/>
        <v>0</v>
      </c>
      <c r="AC348" s="179">
        <f t="shared" si="88"/>
        <v>0</v>
      </c>
      <c r="AD348" s="179">
        <f t="shared" si="88"/>
        <v>0</v>
      </c>
      <c r="AE348" s="179">
        <f t="shared" si="88"/>
        <v>0</v>
      </c>
      <c r="AF348" s="179">
        <f t="shared" si="88"/>
        <v>0</v>
      </c>
      <c r="AG348" s="179">
        <f t="shared" si="88"/>
        <v>0</v>
      </c>
      <c r="AH348" s="179">
        <f t="shared" si="88"/>
        <v>0</v>
      </c>
      <c r="AI348" s="179">
        <f t="shared" si="88"/>
        <v>0</v>
      </c>
      <c r="AJ348" s="179">
        <f>AJ221-AJ285</f>
        <v>0</v>
      </c>
      <c r="AK348" s="180">
        <f t="shared" si="88"/>
        <v>0</v>
      </c>
      <c r="AL348" s="181"/>
      <c r="AM348" s="18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</row>
    <row r="349" spans="1:61" x14ac:dyDescent="0.2">
      <c r="A349" s="110" t="s">
        <v>1</v>
      </c>
      <c r="B349" s="179">
        <f t="shared" si="88"/>
        <v>0</v>
      </c>
      <c r="C349" s="179">
        <f t="shared" si="88"/>
        <v>0</v>
      </c>
      <c r="D349" s="179">
        <f t="shared" si="88"/>
        <v>0</v>
      </c>
      <c r="E349" s="179">
        <f t="shared" si="88"/>
        <v>0</v>
      </c>
      <c r="F349" s="179">
        <f t="shared" si="88"/>
        <v>0</v>
      </c>
      <c r="G349" s="179">
        <f t="shared" si="88"/>
        <v>0</v>
      </c>
      <c r="H349" s="179">
        <f t="shared" si="88"/>
        <v>0</v>
      </c>
      <c r="I349" s="179">
        <f t="shared" si="88"/>
        <v>0</v>
      </c>
      <c r="J349" s="179">
        <f t="shared" si="88"/>
        <v>0</v>
      </c>
      <c r="K349" s="179">
        <f t="shared" si="88"/>
        <v>0</v>
      </c>
      <c r="L349" s="179">
        <f t="shared" si="88"/>
        <v>0</v>
      </c>
      <c r="M349" s="179">
        <f t="shared" si="88"/>
        <v>0</v>
      </c>
      <c r="N349" s="179">
        <f t="shared" si="88"/>
        <v>0</v>
      </c>
      <c r="O349" s="179">
        <f t="shared" si="88"/>
        <v>0</v>
      </c>
      <c r="P349" s="179">
        <f t="shared" si="88"/>
        <v>0</v>
      </c>
      <c r="Q349" s="179">
        <f t="shared" si="88"/>
        <v>0</v>
      </c>
      <c r="R349" s="179">
        <f t="shared" si="88"/>
        <v>0</v>
      </c>
      <c r="S349" s="179">
        <f t="shared" si="88"/>
        <v>0</v>
      </c>
      <c r="T349" s="179">
        <f t="shared" si="88"/>
        <v>0</v>
      </c>
      <c r="U349" s="179">
        <f t="shared" si="88"/>
        <v>0</v>
      </c>
      <c r="V349" s="179">
        <f t="shared" si="88"/>
        <v>0</v>
      </c>
      <c r="W349" s="179">
        <f t="shared" si="88"/>
        <v>0</v>
      </c>
      <c r="X349" s="179">
        <f t="shared" si="88"/>
        <v>0</v>
      </c>
      <c r="Y349" s="179">
        <f t="shared" si="88"/>
        <v>0</v>
      </c>
      <c r="Z349" s="179">
        <f t="shared" si="88"/>
        <v>0</v>
      </c>
      <c r="AA349" s="179">
        <f t="shared" si="88"/>
        <v>0</v>
      </c>
      <c r="AB349" s="179">
        <f t="shared" si="88"/>
        <v>0</v>
      </c>
      <c r="AC349" s="179">
        <f t="shared" si="88"/>
        <v>0</v>
      </c>
      <c r="AD349" s="179">
        <f t="shared" si="88"/>
        <v>0</v>
      </c>
      <c r="AE349" s="179">
        <f t="shared" si="88"/>
        <v>0</v>
      </c>
      <c r="AF349" s="179">
        <f t="shared" si="88"/>
        <v>0</v>
      </c>
      <c r="AG349" s="179">
        <f t="shared" si="88"/>
        <v>0</v>
      </c>
      <c r="AH349" s="179">
        <f t="shared" si="88"/>
        <v>0</v>
      </c>
      <c r="AI349" s="179">
        <f t="shared" si="88"/>
        <v>0</v>
      </c>
      <c r="AJ349" s="179">
        <f t="shared" si="88"/>
        <v>0</v>
      </c>
      <c r="AK349" s="180">
        <f t="shared" si="88"/>
        <v>0</v>
      </c>
      <c r="AL349" s="181"/>
      <c r="AM349" s="18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</row>
    <row r="350" spans="1:61" x14ac:dyDescent="0.2">
      <c r="A350" s="154" t="s">
        <v>7</v>
      </c>
      <c r="B350" s="182">
        <f t="shared" ref="B350:AK350" si="89">B347+B348+B349</f>
        <v>0</v>
      </c>
      <c r="C350" s="182">
        <f t="shared" si="89"/>
        <v>0</v>
      </c>
      <c r="D350" s="182">
        <f t="shared" si="89"/>
        <v>0</v>
      </c>
      <c r="E350" s="182">
        <f t="shared" si="89"/>
        <v>0</v>
      </c>
      <c r="F350" s="182">
        <f t="shared" si="89"/>
        <v>0</v>
      </c>
      <c r="G350" s="182">
        <f t="shared" si="89"/>
        <v>0</v>
      </c>
      <c r="H350" s="182">
        <f t="shared" si="89"/>
        <v>0</v>
      </c>
      <c r="I350" s="182">
        <f>I347+I348+I349</f>
        <v>0</v>
      </c>
      <c r="J350" s="182">
        <f>J347+J348+J349</f>
        <v>0</v>
      </c>
      <c r="K350" s="182">
        <f>K347+K348+K349</f>
        <v>0</v>
      </c>
      <c r="L350" s="182">
        <f t="shared" si="89"/>
        <v>0</v>
      </c>
      <c r="M350" s="182">
        <f t="shared" si="89"/>
        <v>0</v>
      </c>
      <c r="N350" s="182">
        <f t="shared" si="89"/>
        <v>0</v>
      </c>
      <c r="O350" s="182">
        <f t="shared" si="89"/>
        <v>0</v>
      </c>
      <c r="P350" s="182">
        <f t="shared" si="89"/>
        <v>0</v>
      </c>
      <c r="Q350" s="182">
        <f t="shared" si="89"/>
        <v>0</v>
      </c>
      <c r="R350" s="182">
        <f t="shared" si="89"/>
        <v>0</v>
      </c>
      <c r="S350" s="182">
        <f t="shared" si="89"/>
        <v>0</v>
      </c>
      <c r="T350" s="182">
        <f t="shared" si="89"/>
        <v>0</v>
      </c>
      <c r="U350" s="182">
        <f t="shared" si="89"/>
        <v>0</v>
      </c>
      <c r="V350" s="182">
        <f t="shared" si="89"/>
        <v>0</v>
      </c>
      <c r="W350" s="182">
        <f t="shared" si="89"/>
        <v>0</v>
      </c>
      <c r="X350" s="182">
        <f t="shared" si="89"/>
        <v>0</v>
      </c>
      <c r="Y350" s="182">
        <f t="shared" si="89"/>
        <v>0</v>
      </c>
      <c r="Z350" s="182">
        <f t="shared" si="89"/>
        <v>0</v>
      </c>
      <c r="AA350" s="182">
        <f t="shared" si="89"/>
        <v>0</v>
      </c>
      <c r="AB350" s="182">
        <f t="shared" si="89"/>
        <v>0</v>
      </c>
      <c r="AC350" s="182">
        <f t="shared" si="89"/>
        <v>0</v>
      </c>
      <c r="AD350" s="182">
        <f t="shared" si="89"/>
        <v>0</v>
      </c>
      <c r="AE350" s="182">
        <f t="shared" si="89"/>
        <v>0</v>
      </c>
      <c r="AF350" s="182">
        <f t="shared" si="89"/>
        <v>0</v>
      </c>
      <c r="AG350" s="182">
        <f t="shared" si="89"/>
        <v>0</v>
      </c>
      <c r="AH350" s="182">
        <f t="shared" si="89"/>
        <v>0</v>
      </c>
      <c r="AI350" s="182">
        <f t="shared" si="89"/>
        <v>0</v>
      </c>
      <c r="AJ350" s="182">
        <f t="shared" si="89"/>
        <v>0</v>
      </c>
      <c r="AK350" s="184">
        <f t="shared" si="89"/>
        <v>0</v>
      </c>
      <c r="AL350" s="181"/>
      <c r="AM350" s="18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</row>
    <row r="351" spans="1:61" x14ac:dyDescent="0.2">
      <c r="A351" s="120" t="s">
        <v>72</v>
      </c>
      <c r="B351" s="185"/>
      <c r="C351" s="185"/>
      <c r="D351" s="185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85"/>
      <c r="Z351" s="185"/>
      <c r="AA351" s="185"/>
      <c r="AB351" s="185"/>
      <c r="AC351" s="185"/>
      <c r="AD351" s="185"/>
      <c r="AE351" s="185"/>
      <c r="AF351" s="185"/>
      <c r="AG351" s="185"/>
      <c r="AH351" s="185"/>
      <c r="AI351" s="185"/>
      <c r="AJ351" s="185"/>
      <c r="AK351" s="180"/>
      <c r="AL351" s="181"/>
      <c r="AM351" s="18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</row>
    <row r="352" spans="1:61" x14ac:dyDescent="0.2">
      <c r="A352" s="110" t="s">
        <v>92</v>
      </c>
      <c r="B352" s="179">
        <f t="shared" ref="B352:AK352" si="90">B225-B289</f>
        <v>0</v>
      </c>
      <c r="C352" s="179">
        <f t="shared" si="90"/>
        <v>0</v>
      </c>
      <c r="D352" s="179">
        <f t="shared" si="90"/>
        <v>0</v>
      </c>
      <c r="E352" s="179">
        <f t="shared" si="90"/>
        <v>0</v>
      </c>
      <c r="F352" s="179">
        <f t="shared" si="90"/>
        <v>0</v>
      </c>
      <c r="G352" s="179">
        <f t="shared" si="90"/>
        <v>0</v>
      </c>
      <c r="H352" s="179">
        <f t="shared" si="90"/>
        <v>0</v>
      </c>
      <c r="I352" s="179">
        <f t="shared" si="90"/>
        <v>0</v>
      </c>
      <c r="J352" s="179">
        <f t="shared" si="90"/>
        <v>0</v>
      </c>
      <c r="K352" s="179">
        <f t="shared" si="90"/>
        <v>0</v>
      </c>
      <c r="L352" s="179">
        <f t="shared" si="90"/>
        <v>0</v>
      </c>
      <c r="M352" s="179">
        <f t="shared" si="90"/>
        <v>0</v>
      </c>
      <c r="N352" s="179">
        <f t="shared" si="90"/>
        <v>0</v>
      </c>
      <c r="O352" s="179">
        <f t="shared" si="90"/>
        <v>0</v>
      </c>
      <c r="P352" s="179">
        <f t="shared" si="90"/>
        <v>0</v>
      </c>
      <c r="Q352" s="179">
        <f t="shared" si="90"/>
        <v>0</v>
      </c>
      <c r="R352" s="179">
        <f t="shared" si="90"/>
        <v>0</v>
      </c>
      <c r="S352" s="179">
        <f t="shared" si="90"/>
        <v>0</v>
      </c>
      <c r="T352" s="179">
        <f t="shared" si="90"/>
        <v>0</v>
      </c>
      <c r="U352" s="179">
        <f t="shared" si="90"/>
        <v>0</v>
      </c>
      <c r="V352" s="179">
        <f t="shared" si="90"/>
        <v>0</v>
      </c>
      <c r="W352" s="179">
        <f t="shared" si="90"/>
        <v>0</v>
      </c>
      <c r="X352" s="179">
        <f t="shared" si="90"/>
        <v>0</v>
      </c>
      <c r="Y352" s="179">
        <f t="shared" si="90"/>
        <v>0</v>
      </c>
      <c r="Z352" s="179">
        <f t="shared" si="90"/>
        <v>0</v>
      </c>
      <c r="AA352" s="179">
        <f t="shared" si="90"/>
        <v>0</v>
      </c>
      <c r="AB352" s="179">
        <f t="shared" si="90"/>
        <v>0</v>
      </c>
      <c r="AC352" s="179">
        <f t="shared" si="90"/>
        <v>0</v>
      </c>
      <c r="AD352" s="179">
        <f t="shared" si="90"/>
        <v>0</v>
      </c>
      <c r="AE352" s="179">
        <f t="shared" si="90"/>
        <v>0</v>
      </c>
      <c r="AF352" s="179">
        <f t="shared" si="90"/>
        <v>0</v>
      </c>
      <c r="AG352" s="179">
        <f t="shared" si="90"/>
        <v>0</v>
      </c>
      <c r="AH352" s="179">
        <f t="shared" si="90"/>
        <v>0</v>
      </c>
      <c r="AI352" s="179">
        <f t="shared" si="90"/>
        <v>0</v>
      </c>
      <c r="AJ352" s="179">
        <f t="shared" si="90"/>
        <v>0</v>
      </c>
      <c r="AK352" s="180">
        <f t="shared" si="90"/>
        <v>0</v>
      </c>
      <c r="AL352" s="181"/>
      <c r="AM352" s="18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</row>
    <row r="353" spans="1:61" x14ac:dyDescent="0.2">
      <c r="A353" s="110" t="s">
        <v>93</v>
      </c>
      <c r="B353" s="179">
        <f>B226-B290</f>
        <v>0</v>
      </c>
      <c r="C353" s="179">
        <f t="shared" ref="C353:AJ354" si="91">C226-C290</f>
        <v>0</v>
      </c>
      <c r="D353" s="179">
        <f t="shared" si="91"/>
        <v>0</v>
      </c>
      <c r="E353" s="179">
        <f t="shared" si="91"/>
        <v>0</v>
      </c>
      <c r="F353" s="179">
        <f t="shared" si="91"/>
        <v>0</v>
      </c>
      <c r="G353" s="179">
        <f t="shared" si="91"/>
        <v>0</v>
      </c>
      <c r="H353" s="179">
        <f t="shared" si="91"/>
        <v>0</v>
      </c>
      <c r="I353" s="179">
        <f t="shared" si="91"/>
        <v>0</v>
      </c>
      <c r="J353" s="179">
        <f t="shared" si="91"/>
        <v>0</v>
      </c>
      <c r="K353" s="179">
        <f t="shared" si="91"/>
        <v>0</v>
      </c>
      <c r="L353" s="179">
        <f t="shared" si="91"/>
        <v>0</v>
      </c>
      <c r="M353" s="179">
        <f t="shared" si="91"/>
        <v>0</v>
      </c>
      <c r="N353" s="179">
        <f t="shared" si="91"/>
        <v>0</v>
      </c>
      <c r="O353" s="179">
        <f t="shared" si="91"/>
        <v>0</v>
      </c>
      <c r="P353" s="179">
        <f t="shared" si="91"/>
        <v>0</v>
      </c>
      <c r="Q353" s="179">
        <f t="shared" si="91"/>
        <v>0</v>
      </c>
      <c r="R353" s="179">
        <f t="shared" si="91"/>
        <v>0</v>
      </c>
      <c r="S353" s="179">
        <f t="shared" si="91"/>
        <v>0</v>
      </c>
      <c r="T353" s="179">
        <f t="shared" si="91"/>
        <v>0</v>
      </c>
      <c r="U353" s="179">
        <f t="shared" si="91"/>
        <v>0</v>
      </c>
      <c r="V353" s="179">
        <f t="shared" si="91"/>
        <v>0</v>
      </c>
      <c r="W353" s="179">
        <f t="shared" si="91"/>
        <v>0</v>
      </c>
      <c r="X353" s="179">
        <f t="shared" si="91"/>
        <v>0</v>
      </c>
      <c r="Y353" s="179">
        <f t="shared" si="91"/>
        <v>0</v>
      </c>
      <c r="Z353" s="179">
        <f t="shared" si="91"/>
        <v>0</v>
      </c>
      <c r="AA353" s="179">
        <f t="shared" si="91"/>
        <v>0</v>
      </c>
      <c r="AB353" s="179">
        <f t="shared" si="91"/>
        <v>0</v>
      </c>
      <c r="AC353" s="179">
        <f t="shared" si="91"/>
        <v>0</v>
      </c>
      <c r="AD353" s="179">
        <f t="shared" si="91"/>
        <v>0</v>
      </c>
      <c r="AE353" s="179">
        <f t="shared" si="91"/>
        <v>0</v>
      </c>
      <c r="AF353" s="179">
        <f t="shared" si="91"/>
        <v>0</v>
      </c>
      <c r="AG353" s="179">
        <f t="shared" si="91"/>
        <v>0</v>
      </c>
      <c r="AH353" s="179">
        <f t="shared" si="91"/>
        <v>0</v>
      </c>
      <c r="AI353" s="179">
        <f t="shared" si="91"/>
        <v>0</v>
      </c>
      <c r="AJ353" s="179">
        <f t="shared" si="91"/>
        <v>0</v>
      </c>
      <c r="AK353" s="180">
        <f>AK226-AK290</f>
        <v>0</v>
      </c>
      <c r="AL353" s="181"/>
      <c r="AM353" s="18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</row>
    <row r="354" spans="1:61" x14ac:dyDescent="0.2">
      <c r="A354" s="110" t="s">
        <v>1</v>
      </c>
      <c r="B354" s="179">
        <f>B227-B291</f>
        <v>0</v>
      </c>
      <c r="C354" s="179">
        <f t="shared" si="91"/>
        <v>0</v>
      </c>
      <c r="D354" s="179">
        <f t="shared" si="91"/>
        <v>0</v>
      </c>
      <c r="E354" s="179">
        <f t="shared" si="91"/>
        <v>0</v>
      </c>
      <c r="F354" s="179">
        <f t="shared" si="91"/>
        <v>0</v>
      </c>
      <c r="G354" s="179">
        <f t="shared" si="91"/>
        <v>0</v>
      </c>
      <c r="H354" s="179">
        <f t="shared" si="91"/>
        <v>0</v>
      </c>
      <c r="I354" s="179">
        <f t="shared" si="91"/>
        <v>0</v>
      </c>
      <c r="J354" s="179">
        <f t="shared" si="91"/>
        <v>0</v>
      </c>
      <c r="K354" s="179">
        <f t="shared" si="91"/>
        <v>0</v>
      </c>
      <c r="L354" s="179">
        <f t="shared" si="91"/>
        <v>0</v>
      </c>
      <c r="M354" s="179">
        <f t="shared" si="91"/>
        <v>0</v>
      </c>
      <c r="N354" s="179">
        <f t="shared" si="91"/>
        <v>0</v>
      </c>
      <c r="O354" s="179">
        <f t="shared" si="91"/>
        <v>0</v>
      </c>
      <c r="P354" s="179">
        <f t="shared" si="91"/>
        <v>0</v>
      </c>
      <c r="Q354" s="179">
        <f t="shared" si="91"/>
        <v>0</v>
      </c>
      <c r="R354" s="179">
        <f t="shared" si="91"/>
        <v>0</v>
      </c>
      <c r="S354" s="179">
        <f t="shared" si="91"/>
        <v>0</v>
      </c>
      <c r="T354" s="179">
        <f t="shared" si="91"/>
        <v>0</v>
      </c>
      <c r="U354" s="179">
        <f t="shared" si="91"/>
        <v>0</v>
      </c>
      <c r="V354" s="179">
        <f t="shared" si="91"/>
        <v>0</v>
      </c>
      <c r="W354" s="179">
        <f t="shared" si="91"/>
        <v>0</v>
      </c>
      <c r="X354" s="179">
        <f t="shared" si="91"/>
        <v>0</v>
      </c>
      <c r="Y354" s="179">
        <f t="shared" si="91"/>
        <v>0</v>
      </c>
      <c r="Z354" s="179">
        <f t="shared" si="91"/>
        <v>0</v>
      </c>
      <c r="AA354" s="179">
        <f t="shared" si="91"/>
        <v>0</v>
      </c>
      <c r="AB354" s="179">
        <f t="shared" si="91"/>
        <v>0</v>
      </c>
      <c r="AC354" s="179">
        <f t="shared" si="91"/>
        <v>0</v>
      </c>
      <c r="AD354" s="179">
        <f t="shared" si="91"/>
        <v>0</v>
      </c>
      <c r="AE354" s="179">
        <f t="shared" si="91"/>
        <v>0</v>
      </c>
      <c r="AF354" s="179">
        <f t="shared" si="91"/>
        <v>0</v>
      </c>
      <c r="AG354" s="179">
        <f t="shared" si="91"/>
        <v>0</v>
      </c>
      <c r="AH354" s="179">
        <f t="shared" si="91"/>
        <v>0</v>
      </c>
      <c r="AI354" s="179">
        <f t="shared" si="91"/>
        <v>0</v>
      </c>
      <c r="AJ354" s="179">
        <f t="shared" si="91"/>
        <v>0</v>
      </c>
      <c r="AK354" s="180">
        <f>AK227-AK291</f>
        <v>0</v>
      </c>
      <c r="AL354" s="181"/>
      <c r="AM354" s="18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</row>
    <row r="355" spans="1:61" x14ac:dyDescent="0.2">
      <c r="A355" s="154" t="s">
        <v>7</v>
      </c>
      <c r="B355" s="182">
        <f>SUM(B352:B354)</f>
        <v>0</v>
      </c>
      <c r="C355" s="182">
        <f t="shared" ref="C355:H355" si="92">SUM(C352:C354)</f>
        <v>0</v>
      </c>
      <c r="D355" s="182">
        <f t="shared" si="92"/>
        <v>0</v>
      </c>
      <c r="E355" s="182">
        <f t="shared" si="92"/>
        <v>0</v>
      </c>
      <c r="F355" s="182">
        <f t="shared" si="92"/>
        <v>0</v>
      </c>
      <c r="G355" s="182">
        <f t="shared" si="92"/>
        <v>0</v>
      </c>
      <c r="H355" s="182">
        <f t="shared" si="92"/>
        <v>0</v>
      </c>
      <c r="I355" s="182">
        <f>SUM(I352:I354)</f>
        <v>0</v>
      </c>
      <c r="J355" s="182">
        <f>SUM(J352:J354)</f>
        <v>0</v>
      </c>
      <c r="K355" s="182">
        <f>SUM(K352:K354)</f>
        <v>0</v>
      </c>
      <c r="L355" s="182">
        <f t="shared" ref="L355:AK355" si="93">SUM(L352:L354)</f>
        <v>0</v>
      </c>
      <c r="M355" s="182">
        <f t="shared" si="93"/>
        <v>0</v>
      </c>
      <c r="N355" s="182">
        <f t="shared" si="93"/>
        <v>0</v>
      </c>
      <c r="O355" s="182">
        <f t="shared" si="93"/>
        <v>0</v>
      </c>
      <c r="P355" s="182">
        <f t="shared" si="93"/>
        <v>0</v>
      </c>
      <c r="Q355" s="182">
        <f t="shared" si="93"/>
        <v>0</v>
      </c>
      <c r="R355" s="182">
        <f t="shared" si="93"/>
        <v>0</v>
      </c>
      <c r="S355" s="182">
        <f t="shared" si="93"/>
        <v>0</v>
      </c>
      <c r="T355" s="182">
        <f t="shared" si="93"/>
        <v>0</v>
      </c>
      <c r="U355" s="182">
        <f t="shared" si="93"/>
        <v>0</v>
      </c>
      <c r="V355" s="182">
        <f t="shared" si="93"/>
        <v>0</v>
      </c>
      <c r="W355" s="182">
        <f t="shared" si="93"/>
        <v>0</v>
      </c>
      <c r="X355" s="182">
        <f t="shared" si="93"/>
        <v>0</v>
      </c>
      <c r="Y355" s="182">
        <f t="shared" si="93"/>
        <v>0</v>
      </c>
      <c r="Z355" s="182">
        <f t="shared" si="93"/>
        <v>0</v>
      </c>
      <c r="AA355" s="182">
        <f t="shared" si="93"/>
        <v>0</v>
      </c>
      <c r="AB355" s="182">
        <f t="shared" si="93"/>
        <v>0</v>
      </c>
      <c r="AC355" s="182">
        <f t="shared" si="93"/>
        <v>0</v>
      </c>
      <c r="AD355" s="182">
        <f t="shared" si="93"/>
        <v>0</v>
      </c>
      <c r="AE355" s="182">
        <f t="shared" si="93"/>
        <v>0</v>
      </c>
      <c r="AF355" s="182">
        <f t="shared" si="93"/>
        <v>0</v>
      </c>
      <c r="AG355" s="182">
        <f t="shared" si="93"/>
        <v>0</v>
      </c>
      <c r="AH355" s="182">
        <f t="shared" si="93"/>
        <v>0</v>
      </c>
      <c r="AI355" s="182">
        <f t="shared" si="93"/>
        <v>0</v>
      </c>
      <c r="AJ355" s="182">
        <f t="shared" si="93"/>
        <v>0</v>
      </c>
      <c r="AK355" s="184">
        <f t="shared" si="93"/>
        <v>0</v>
      </c>
      <c r="AL355" s="181"/>
      <c r="AM355" s="18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</row>
    <row r="356" spans="1:61" x14ac:dyDescent="0.2">
      <c r="A356" s="120" t="s">
        <v>100</v>
      </c>
      <c r="B356" s="179"/>
      <c r="C356" s="179"/>
      <c r="D356" s="179"/>
      <c r="E356" s="179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90"/>
      <c r="AL356" s="181"/>
      <c r="AM356" s="18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</row>
    <row r="357" spans="1:61" x14ac:dyDescent="0.2">
      <c r="A357" s="110" t="s">
        <v>92</v>
      </c>
      <c r="B357" s="179">
        <f t="shared" ref="B357:X359" si="94">B230-B294</f>
        <v>0</v>
      </c>
      <c r="C357" s="179">
        <f t="shared" si="94"/>
        <v>0</v>
      </c>
      <c r="D357" s="179">
        <f t="shared" si="94"/>
        <v>0</v>
      </c>
      <c r="E357" s="179">
        <f t="shared" si="94"/>
        <v>0</v>
      </c>
      <c r="F357" s="179">
        <f t="shared" si="94"/>
        <v>0</v>
      </c>
      <c r="G357" s="179">
        <f t="shared" si="94"/>
        <v>0</v>
      </c>
      <c r="H357" s="179">
        <f t="shared" si="94"/>
        <v>0</v>
      </c>
      <c r="I357" s="179">
        <f t="shared" si="94"/>
        <v>0</v>
      </c>
      <c r="J357" s="179">
        <f t="shared" si="94"/>
        <v>0</v>
      </c>
      <c r="K357" s="179">
        <f t="shared" si="94"/>
        <v>0</v>
      </c>
      <c r="L357" s="179">
        <f t="shared" si="94"/>
        <v>0</v>
      </c>
      <c r="M357" s="179">
        <f t="shared" si="94"/>
        <v>0</v>
      </c>
      <c r="N357" s="179">
        <f t="shared" si="94"/>
        <v>0</v>
      </c>
      <c r="O357" s="179">
        <f t="shared" si="94"/>
        <v>0</v>
      </c>
      <c r="P357" s="179">
        <f t="shared" si="94"/>
        <v>0</v>
      </c>
      <c r="Q357" s="179">
        <f t="shared" si="94"/>
        <v>0</v>
      </c>
      <c r="R357" s="179">
        <f t="shared" si="94"/>
        <v>0</v>
      </c>
      <c r="S357" s="179">
        <f t="shared" si="94"/>
        <v>0</v>
      </c>
      <c r="T357" s="179">
        <f t="shared" si="94"/>
        <v>0</v>
      </c>
      <c r="U357" s="179">
        <f t="shared" si="94"/>
        <v>0</v>
      </c>
      <c r="V357" s="179">
        <f t="shared" si="94"/>
        <v>0</v>
      </c>
      <c r="W357" s="179">
        <f t="shared" si="94"/>
        <v>0</v>
      </c>
      <c r="X357" s="179">
        <f t="shared" si="94"/>
        <v>0</v>
      </c>
      <c r="Y357" s="179">
        <f>Y230-Y294</f>
        <v>0</v>
      </c>
      <c r="Z357" s="179">
        <f t="shared" ref="Z357:AK359" si="95">Z230-Z294</f>
        <v>0</v>
      </c>
      <c r="AA357" s="179">
        <f t="shared" si="95"/>
        <v>0</v>
      </c>
      <c r="AB357" s="179">
        <f t="shared" si="95"/>
        <v>0</v>
      </c>
      <c r="AC357" s="179">
        <f t="shared" si="95"/>
        <v>0</v>
      </c>
      <c r="AD357" s="179">
        <f t="shared" si="95"/>
        <v>0</v>
      </c>
      <c r="AE357" s="179">
        <f t="shared" si="95"/>
        <v>0</v>
      </c>
      <c r="AF357" s="179">
        <f t="shared" si="95"/>
        <v>0</v>
      </c>
      <c r="AG357" s="179">
        <f t="shared" si="95"/>
        <v>0</v>
      </c>
      <c r="AH357" s="179">
        <f t="shared" si="95"/>
        <v>0</v>
      </c>
      <c r="AI357" s="179">
        <f t="shared" si="95"/>
        <v>0</v>
      </c>
      <c r="AJ357" s="179">
        <f t="shared" si="95"/>
        <v>0</v>
      </c>
      <c r="AK357" s="180">
        <f t="shared" si="95"/>
        <v>0</v>
      </c>
      <c r="AL357" s="181"/>
      <c r="AM357" s="18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</row>
    <row r="358" spans="1:61" x14ac:dyDescent="0.2">
      <c r="A358" s="110" t="s">
        <v>93</v>
      </c>
      <c r="B358" s="179">
        <f t="shared" si="94"/>
        <v>0</v>
      </c>
      <c r="C358" s="179">
        <f t="shared" si="94"/>
        <v>0</v>
      </c>
      <c r="D358" s="179">
        <f t="shared" si="94"/>
        <v>0</v>
      </c>
      <c r="E358" s="179">
        <f t="shared" si="94"/>
        <v>0</v>
      </c>
      <c r="F358" s="179">
        <f t="shared" si="94"/>
        <v>0</v>
      </c>
      <c r="G358" s="179">
        <f t="shared" si="94"/>
        <v>0</v>
      </c>
      <c r="H358" s="179">
        <f t="shared" si="94"/>
        <v>0</v>
      </c>
      <c r="I358" s="179">
        <f t="shared" si="94"/>
        <v>0</v>
      </c>
      <c r="J358" s="179">
        <f t="shared" si="94"/>
        <v>0</v>
      </c>
      <c r="K358" s="179">
        <f t="shared" si="94"/>
        <v>0</v>
      </c>
      <c r="L358" s="179">
        <f t="shared" si="94"/>
        <v>0</v>
      </c>
      <c r="M358" s="179">
        <f t="shared" si="94"/>
        <v>0</v>
      </c>
      <c r="N358" s="179">
        <f t="shared" si="94"/>
        <v>0</v>
      </c>
      <c r="O358" s="179">
        <f t="shared" si="94"/>
        <v>0</v>
      </c>
      <c r="P358" s="179">
        <f t="shared" si="94"/>
        <v>0</v>
      </c>
      <c r="Q358" s="179">
        <f t="shared" si="94"/>
        <v>0</v>
      </c>
      <c r="R358" s="179">
        <f t="shared" si="94"/>
        <v>0</v>
      </c>
      <c r="S358" s="179">
        <f t="shared" si="94"/>
        <v>0</v>
      </c>
      <c r="T358" s="179">
        <f t="shared" si="94"/>
        <v>0</v>
      </c>
      <c r="U358" s="179">
        <f t="shared" si="94"/>
        <v>0</v>
      </c>
      <c r="V358" s="179">
        <f t="shared" si="94"/>
        <v>0</v>
      </c>
      <c r="W358" s="179">
        <f t="shared" si="94"/>
        <v>0</v>
      </c>
      <c r="X358" s="179">
        <f t="shared" si="94"/>
        <v>0</v>
      </c>
      <c r="Y358" s="179">
        <f>Y231-Y295</f>
        <v>0</v>
      </c>
      <c r="Z358" s="179">
        <f t="shared" si="95"/>
        <v>0</v>
      </c>
      <c r="AA358" s="179">
        <f t="shared" si="95"/>
        <v>0</v>
      </c>
      <c r="AB358" s="179">
        <f t="shared" si="95"/>
        <v>0</v>
      </c>
      <c r="AC358" s="179">
        <f t="shared" si="95"/>
        <v>0</v>
      </c>
      <c r="AD358" s="179">
        <f t="shared" si="95"/>
        <v>0</v>
      </c>
      <c r="AE358" s="179">
        <f t="shared" si="95"/>
        <v>0</v>
      </c>
      <c r="AF358" s="179">
        <f t="shared" si="95"/>
        <v>0</v>
      </c>
      <c r="AG358" s="179">
        <f t="shared" si="95"/>
        <v>0</v>
      </c>
      <c r="AH358" s="179">
        <f t="shared" si="95"/>
        <v>0</v>
      </c>
      <c r="AI358" s="179">
        <f t="shared" si="95"/>
        <v>0</v>
      </c>
      <c r="AJ358" s="179">
        <f t="shared" si="95"/>
        <v>0</v>
      </c>
      <c r="AK358" s="180">
        <f t="shared" si="95"/>
        <v>0</v>
      </c>
      <c r="AL358" s="181"/>
      <c r="AM358" s="18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</row>
    <row r="359" spans="1:61" x14ac:dyDescent="0.2">
      <c r="A359" s="110" t="s">
        <v>1</v>
      </c>
      <c r="B359" s="179">
        <f t="shared" si="94"/>
        <v>0</v>
      </c>
      <c r="C359" s="179">
        <f t="shared" si="94"/>
        <v>0</v>
      </c>
      <c r="D359" s="179">
        <f t="shared" si="94"/>
        <v>0</v>
      </c>
      <c r="E359" s="179">
        <f t="shared" si="94"/>
        <v>0</v>
      </c>
      <c r="F359" s="179">
        <f t="shared" si="94"/>
        <v>0</v>
      </c>
      <c r="G359" s="179">
        <f t="shared" si="94"/>
        <v>0</v>
      </c>
      <c r="H359" s="179">
        <f t="shared" si="94"/>
        <v>0</v>
      </c>
      <c r="I359" s="179">
        <f t="shared" si="94"/>
        <v>0</v>
      </c>
      <c r="J359" s="179">
        <f t="shared" si="94"/>
        <v>0</v>
      </c>
      <c r="K359" s="179">
        <f t="shared" si="94"/>
        <v>0</v>
      </c>
      <c r="L359" s="179">
        <f t="shared" si="94"/>
        <v>0</v>
      </c>
      <c r="M359" s="179">
        <f t="shared" si="94"/>
        <v>0</v>
      </c>
      <c r="N359" s="179">
        <f t="shared" si="94"/>
        <v>0</v>
      </c>
      <c r="O359" s="179">
        <f t="shared" si="94"/>
        <v>0</v>
      </c>
      <c r="P359" s="179">
        <f t="shared" si="94"/>
        <v>0</v>
      </c>
      <c r="Q359" s="179">
        <f t="shared" si="94"/>
        <v>0</v>
      </c>
      <c r="R359" s="179">
        <f t="shared" si="94"/>
        <v>0</v>
      </c>
      <c r="S359" s="179">
        <f t="shared" si="94"/>
        <v>0</v>
      </c>
      <c r="T359" s="179">
        <f t="shared" si="94"/>
        <v>0</v>
      </c>
      <c r="U359" s="179">
        <f t="shared" si="94"/>
        <v>0</v>
      </c>
      <c r="V359" s="179">
        <f t="shared" si="94"/>
        <v>0</v>
      </c>
      <c r="W359" s="179">
        <f t="shared" si="94"/>
        <v>0</v>
      </c>
      <c r="X359" s="179">
        <f t="shared" si="94"/>
        <v>0</v>
      </c>
      <c r="Y359" s="179">
        <f>Y232-Y296</f>
        <v>0</v>
      </c>
      <c r="Z359" s="179">
        <f t="shared" si="95"/>
        <v>0</v>
      </c>
      <c r="AA359" s="179">
        <f t="shared" si="95"/>
        <v>0</v>
      </c>
      <c r="AB359" s="179">
        <f t="shared" si="95"/>
        <v>0</v>
      </c>
      <c r="AC359" s="179">
        <f t="shared" si="95"/>
        <v>0</v>
      </c>
      <c r="AD359" s="179">
        <f t="shared" si="95"/>
        <v>0</v>
      </c>
      <c r="AE359" s="179">
        <f t="shared" si="95"/>
        <v>0</v>
      </c>
      <c r="AF359" s="179">
        <f t="shared" si="95"/>
        <v>0</v>
      </c>
      <c r="AG359" s="179">
        <f t="shared" si="95"/>
        <v>0</v>
      </c>
      <c r="AH359" s="179">
        <f t="shared" si="95"/>
        <v>0</v>
      </c>
      <c r="AI359" s="179">
        <f t="shared" si="95"/>
        <v>0</v>
      </c>
      <c r="AJ359" s="179">
        <f t="shared" si="95"/>
        <v>0</v>
      </c>
      <c r="AK359" s="180">
        <f t="shared" si="95"/>
        <v>0</v>
      </c>
      <c r="AL359" s="181"/>
      <c r="AM359" s="18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</row>
    <row r="360" spans="1:61" x14ac:dyDescent="0.2">
      <c r="A360" s="154" t="s">
        <v>7</v>
      </c>
      <c r="B360" s="182">
        <f t="shared" ref="B360:AK360" si="96">SUM(B357:B359)</f>
        <v>0</v>
      </c>
      <c r="C360" s="182">
        <f t="shared" si="96"/>
        <v>0</v>
      </c>
      <c r="D360" s="182">
        <f t="shared" si="96"/>
        <v>0</v>
      </c>
      <c r="E360" s="182">
        <f t="shared" si="96"/>
        <v>0</v>
      </c>
      <c r="F360" s="182">
        <f t="shared" si="96"/>
        <v>0</v>
      </c>
      <c r="G360" s="182">
        <f t="shared" si="96"/>
        <v>0</v>
      </c>
      <c r="H360" s="182">
        <f t="shared" si="96"/>
        <v>0</v>
      </c>
      <c r="I360" s="182">
        <f>SUM(I357:I359)</f>
        <v>0</v>
      </c>
      <c r="J360" s="182">
        <f>SUM(J357:J359)</f>
        <v>0</v>
      </c>
      <c r="K360" s="182">
        <f>SUM(K357:K359)</f>
        <v>0</v>
      </c>
      <c r="L360" s="182">
        <f t="shared" si="96"/>
        <v>0</v>
      </c>
      <c r="M360" s="182">
        <f t="shared" si="96"/>
        <v>0</v>
      </c>
      <c r="N360" s="182">
        <f t="shared" si="96"/>
        <v>0</v>
      </c>
      <c r="O360" s="182">
        <f t="shared" si="96"/>
        <v>0</v>
      </c>
      <c r="P360" s="182">
        <f t="shared" si="96"/>
        <v>0</v>
      </c>
      <c r="Q360" s="182">
        <f t="shared" si="96"/>
        <v>0</v>
      </c>
      <c r="R360" s="182">
        <f t="shared" si="96"/>
        <v>0</v>
      </c>
      <c r="S360" s="182">
        <f t="shared" si="96"/>
        <v>0</v>
      </c>
      <c r="T360" s="182">
        <f t="shared" si="96"/>
        <v>0</v>
      </c>
      <c r="U360" s="182">
        <f t="shared" si="96"/>
        <v>0</v>
      </c>
      <c r="V360" s="182">
        <f t="shared" si="96"/>
        <v>0</v>
      </c>
      <c r="W360" s="182">
        <f t="shared" si="96"/>
        <v>0</v>
      </c>
      <c r="X360" s="182">
        <f t="shared" si="96"/>
        <v>0</v>
      </c>
      <c r="Y360" s="182">
        <f t="shared" si="96"/>
        <v>0</v>
      </c>
      <c r="Z360" s="182">
        <f t="shared" si="96"/>
        <v>0</v>
      </c>
      <c r="AA360" s="182">
        <f t="shared" si="96"/>
        <v>0</v>
      </c>
      <c r="AB360" s="182">
        <f t="shared" si="96"/>
        <v>0</v>
      </c>
      <c r="AC360" s="182">
        <f t="shared" si="96"/>
        <v>0</v>
      </c>
      <c r="AD360" s="182">
        <f t="shared" si="96"/>
        <v>0</v>
      </c>
      <c r="AE360" s="182">
        <f t="shared" si="96"/>
        <v>0</v>
      </c>
      <c r="AF360" s="182">
        <f t="shared" si="96"/>
        <v>0</v>
      </c>
      <c r="AG360" s="182">
        <f t="shared" si="96"/>
        <v>0</v>
      </c>
      <c r="AH360" s="182">
        <f t="shared" si="96"/>
        <v>0</v>
      </c>
      <c r="AI360" s="182">
        <f t="shared" si="96"/>
        <v>0</v>
      </c>
      <c r="AJ360" s="182">
        <f t="shared" si="96"/>
        <v>0</v>
      </c>
      <c r="AK360" s="184">
        <f t="shared" si="96"/>
        <v>0</v>
      </c>
      <c r="AL360" s="181"/>
      <c r="AM360" s="18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</row>
    <row r="361" spans="1:61" x14ac:dyDescent="0.2">
      <c r="A361" s="120" t="s">
        <v>74</v>
      </c>
      <c r="B361" s="179"/>
      <c r="C361" s="179"/>
      <c r="D361" s="179"/>
      <c r="E361" s="179"/>
      <c r="F361" s="179"/>
      <c r="G361" s="179"/>
      <c r="H361" s="179"/>
      <c r="I361" s="179"/>
      <c r="J361" s="179"/>
      <c r="K361" s="179"/>
      <c r="L361" s="179"/>
      <c r="M361" s="179"/>
      <c r="N361" s="179"/>
      <c r="O361" s="179"/>
      <c r="P361" s="179"/>
      <c r="Q361" s="179"/>
      <c r="R361" s="179"/>
      <c r="S361" s="179"/>
      <c r="T361" s="179"/>
      <c r="U361" s="179"/>
      <c r="V361" s="179"/>
      <c r="W361" s="179"/>
      <c r="X361" s="179"/>
      <c r="Y361" s="179"/>
      <c r="Z361" s="179"/>
      <c r="AA361" s="179"/>
      <c r="AB361" s="179"/>
      <c r="AC361" s="179"/>
      <c r="AD361" s="179"/>
      <c r="AE361" s="179"/>
      <c r="AF361" s="179"/>
      <c r="AG361" s="179"/>
      <c r="AH361" s="179"/>
      <c r="AI361" s="179"/>
      <c r="AJ361" s="179"/>
      <c r="AK361" s="190"/>
      <c r="AL361" s="181"/>
      <c r="AM361" s="18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</row>
    <row r="362" spans="1:61" x14ac:dyDescent="0.2">
      <c r="A362" s="110" t="s">
        <v>92</v>
      </c>
      <c r="B362" s="179">
        <f t="shared" ref="B362:X364" si="97">B235-B299</f>
        <v>0</v>
      </c>
      <c r="C362" s="179">
        <f t="shared" si="97"/>
        <v>0</v>
      </c>
      <c r="D362" s="179">
        <f t="shared" si="97"/>
        <v>0</v>
      </c>
      <c r="E362" s="179">
        <f t="shared" si="97"/>
        <v>0</v>
      </c>
      <c r="F362" s="179">
        <f t="shared" si="97"/>
        <v>0</v>
      </c>
      <c r="G362" s="179">
        <f t="shared" si="97"/>
        <v>0</v>
      </c>
      <c r="H362" s="179">
        <f t="shared" si="97"/>
        <v>0</v>
      </c>
      <c r="I362" s="179">
        <f t="shared" si="97"/>
        <v>0</v>
      </c>
      <c r="J362" s="179">
        <f t="shared" si="97"/>
        <v>0</v>
      </c>
      <c r="K362" s="179">
        <f t="shared" si="97"/>
        <v>0</v>
      </c>
      <c r="L362" s="179">
        <f t="shared" si="97"/>
        <v>0</v>
      </c>
      <c r="M362" s="179">
        <f t="shared" si="97"/>
        <v>0</v>
      </c>
      <c r="N362" s="179">
        <f t="shared" si="97"/>
        <v>0</v>
      </c>
      <c r="O362" s="179">
        <f t="shared" si="97"/>
        <v>0</v>
      </c>
      <c r="P362" s="179">
        <f t="shared" si="97"/>
        <v>0</v>
      </c>
      <c r="Q362" s="179">
        <f t="shared" si="97"/>
        <v>0</v>
      </c>
      <c r="R362" s="179">
        <f t="shared" si="97"/>
        <v>0</v>
      </c>
      <c r="S362" s="179">
        <f t="shared" si="97"/>
        <v>0</v>
      </c>
      <c r="T362" s="179">
        <f t="shared" si="97"/>
        <v>0</v>
      </c>
      <c r="U362" s="179">
        <f t="shared" si="97"/>
        <v>0</v>
      </c>
      <c r="V362" s="179">
        <f t="shared" si="97"/>
        <v>0</v>
      </c>
      <c r="W362" s="179">
        <f t="shared" si="97"/>
        <v>0</v>
      </c>
      <c r="X362" s="179">
        <f t="shared" si="97"/>
        <v>0</v>
      </c>
      <c r="Y362" s="179">
        <f>Y235-Y299</f>
        <v>0</v>
      </c>
      <c r="Z362" s="179">
        <f t="shared" ref="Z362:AK364" si="98">Z235-Z299</f>
        <v>0</v>
      </c>
      <c r="AA362" s="179">
        <f t="shared" si="98"/>
        <v>0</v>
      </c>
      <c r="AB362" s="179">
        <f t="shared" si="98"/>
        <v>0</v>
      </c>
      <c r="AC362" s="179">
        <f t="shared" si="98"/>
        <v>0</v>
      </c>
      <c r="AD362" s="179">
        <f t="shared" si="98"/>
        <v>0</v>
      </c>
      <c r="AE362" s="179">
        <f t="shared" si="98"/>
        <v>0</v>
      </c>
      <c r="AF362" s="179">
        <f t="shared" si="98"/>
        <v>0</v>
      </c>
      <c r="AG362" s="179">
        <f t="shared" si="98"/>
        <v>0</v>
      </c>
      <c r="AH362" s="179">
        <f t="shared" si="98"/>
        <v>0</v>
      </c>
      <c r="AI362" s="179">
        <f t="shared" si="98"/>
        <v>0</v>
      </c>
      <c r="AJ362" s="179">
        <f t="shared" si="98"/>
        <v>0</v>
      </c>
      <c r="AK362" s="180">
        <f t="shared" si="98"/>
        <v>0</v>
      </c>
      <c r="AL362" s="181"/>
      <c r="AM362" s="18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</row>
    <row r="363" spans="1:61" x14ac:dyDescent="0.2">
      <c r="A363" s="110" t="s">
        <v>93</v>
      </c>
      <c r="B363" s="179">
        <f t="shared" si="97"/>
        <v>0</v>
      </c>
      <c r="C363" s="179">
        <f t="shared" si="97"/>
        <v>0</v>
      </c>
      <c r="D363" s="179">
        <f t="shared" si="97"/>
        <v>0</v>
      </c>
      <c r="E363" s="179">
        <f t="shared" si="97"/>
        <v>0</v>
      </c>
      <c r="F363" s="179">
        <f t="shared" si="97"/>
        <v>0</v>
      </c>
      <c r="G363" s="189">
        <f t="shared" si="97"/>
        <v>0</v>
      </c>
      <c r="H363" s="179">
        <f t="shared" si="97"/>
        <v>0</v>
      </c>
      <c r="I363" s="179">
        <f t="shared" si="97"/>
        <v>0</v>
      </c>
      <c r="J363" s="179">
        <f t="shared" si="97"/>
        <v>0</v>
      </c>
      <c r="K363" s="179">
        <f t="shared" si="97"/>
        <v>0</v>
      </c>
      <c r="L363" s="179">
        <f t="shared" si="97"/>
        <v>0</v>
      </c>
      <c r="M363" s="179">
        <f t="shared" si="97"/>
        <v>0</v>
      </c>
      <c r="N363" s="179">
        <f t="shared" si="97"/>
        <v>0</v>
      </c>
      <c r="O363" s="179">
        <f t="shared" si="97"/>
        <v>0</v>
      </c>
      <c r="P363" s="179">
        <f t="shared" si="97"/>
        <v>0</v>
      </c>
      <c r="Q363" s="179">
        <f t="shared" si="97"/>
        <v>0</v>
      </c>
      <c r="R363" s="179">
        <f t="shared" si="97"/>
        <v>0</v>
      </c>
      <c r="S363" s="179">
        <f t="shared" si="97"/>
        <v>0</v>
      </c>
      <c r="T363" s="179">
        <f t="shared" si="97"/>
        <v>0</v>
      </c>
      <c r="U363" s="179">
        <f t="shared" si="97"/>
        <v>0</v>
      </c>
      <c r="V363" s="179">
        <f t="shared" si="97"/>
        <v>0</v>
      </c>
      <c r="W363" s="179">
        <f t="shared" si="97"/>
        <v>0</v>
      </c>
      <c r="X363" s="179">
        <f t="shared" si="97"/>
        <v>0</v>
      </c>
      <c r="Y363" s="179">
        <f>Y236-Y300</f>
        <v>0</v>
      </c>
      <c r="Z363" s="179">
        <f t="shared" si="98"/>
        <v>0</v>
      </c>
      <c r="AA363" s="179">
        <f t="shared" si="98"/>
        <v>0</v>
      </c>
      <c r="AB363" s="179">
        <f t="shared" si="98"/>
        <v>0</v>
      </c>
      <c r="AC363" s="179">
        <f t="shared" si="98"/>
        <v>0</v>
      </c>
      <c r="AD363" s="179">
        <f t="shared" si="98"/>
        <v>0</v>
      </c>
      <c r="AE363" s="179">
        <f t="shared" si="98"/>
        <v>0</v>
      </c>
      <c r="AF363" s="179">
        <f t="shared" si="98"/>
        <v>0</v>
      </c>
      <c r="AG363" s="179">
        <f t="shared" si="98"/>
        <v>0</v>
      </c>
      <c r="AH363" s="179">
        <f t="shared" si="98"/>
        <v>0</v>
      </c>
      <c r="AI363" s="179">
        <f t="shared" si="98"/>
        <v>0</v>
      </c>
      <c r="AJ363" s="179">
        <f t="shared" si="98"/>
        <v>0</v>
      </c>
      <c r="AK363" s="180">
        <f t="shared" si="98"/>
        <v>0</v>
      </c>
      <c r="AL363" s="181"/>
      <c r="AM363" s="18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</row>
    <row r="364" spans="1:61" x14ac:dyDescent="0.2">
      <c r="A364" s="110" t="s">
        <v>1</v>
      </c>
      <c r="B364" s="179">
        <f t="shared" si="97"/>
        <v>0</v>
      </c>
      <c r="C364" s="179">
        <f t="shared" si="97"/>
        <v>0</v>
      </c>
      <c r="D364" s="179">
        <f t="shared" si="97"/>
        <v>0</v>
      </c>
      <c r="E364" s="179">
        <f t="shared" si="97"/>
        <v>0</v>
      </c>
      <c r="F364" s="179">
        <f t="shared" si="97"/>
        <v>0</v>
      </c>
      <c r="G364" s="179">
        <f t="shared" si="97"/>
        <v>0</v>
      </c>
      <c r="H364" s="179">
        <f t="shared" si="97"/>
        <v>0</v>
      </c>
      <c r="I364" s="179">
        <f t="shared" si="97"/>
        <v>0</v>
      </c>
      <c r="J364" s="179">
        <f t="shared" si="97"/>
        <v>0</v>
      </c>
      <c r="K364" s="179">
        <f t="shared" si="97"/>
        <v>0</v>
      </c>
      <c r="L364" s="179">
        <f t="shared" si="97"/>
        <v>0</v>
      </c>
      <c r="M364" s="179">
        <f t="shared" si="97"/>
        <v>0</v>
      </c>
      <c r="N364" s="179">
        <f t="shared" si="97"/>
        <v>0</v>
      </c>
      <c r="O364" s="179">
        <f t="shared" si="97"/>
        <v>0</v>
      </c>
      <c r="P364" s="179">
        <f t="shared" si="97"/>
        <v>0</v>
      </c>
      <c r="Q364" s="179">
        <f t="shared" si="97"/>
        <v>0</v>
      </c>
      <c r="R364" s="179">
        <f t="shared" si="97"/>
        <v>0</v>
      </c>
      <c r="S364" s="179">
        <f t="shared" si="97"/>
        <v>0</v>
      </c>
      <c r="T364" s="189">
        <f t="shared" si="97"/>
        <v>0</v>
      </c>
      <c r="U364" s="179">
        <f t="shared" si="97"/>
        <v>0</v>
      </c>
      <c r="V364" s="179">
        <f t="shared" si="97"/>
        <v>0</v>
      </c>
      <c r="W364" s="179">
        <f t="shared" si="97"/>
        <v>0</v>
      </c>
      <c r="X364" s="179">
        <f t="shared" si="97"/>
        <v>0</v>
      </c>
      <c r="Y364" s="179">
        <f>Y237-Y301</f>
        <v>0</v>
      </c>
      <c r="Z364" s="179">
        <f t="shared" si="98"/>
        <v>0</v>
      </c>
      <c r="AA364" s="179">
        <f t="shared" si="98"/>
        <v>0</v>
      </c>
      <c r="AB364" s="179">
        <f t="shared" si="98"/>
        <v>0</v>
      </c>
      <c r="AC364" s="179">
        <f t="shared" si="98"/>
        <v>0</v>
      </c>
      <c r="AD364" s="179">
        <f t="shared" si="98"/>
        <v>0</v>
      </c>
      <c r="AE364" s="179">
        <f t="shared" si="98"/>
        <v>0</v>
      </c>
      <c r="AF364" s="179">
        <f t="shared" si="98"/>
        <v>0</v>
      </c>
      <c r="AG364" s="179">
        <f t="shared" si="98"/>
        <v>0</v>
      </c>
      <c r="AH364" s="179">
        <f t="shared" si="98"/>
        <v>0</v>
      </c>
      <c r="AI364" s="179">
        <f t="shared" si="98"/>
        <v>0</v>
      </c>
      <c r="AJ364" s="179">
        <f t="shared" si="98"/>
        <v>0</v>
      </c>
      <c r="AK364" s="180">
        <f t="shared" si="98"/>
        <v>0</v>
      </c>
      <c r="AL364" s="181"/>
      <c r="AM364" s="18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</row>
    <row r="365" spans="1:61" x14ac:dyDescent="0.2">
      <c r="A365" s="154" t="s">
        <v>7</v>
      </c>
      <c r="B365" s="182">
        <f t="shared" ref="B365:AK365" si="99">SUM(B362:B364)</f>
        <v>0</v>
      </c>
      <c r="C365" s="182">
        <f t="shared" si="99"/>
        <v>0</v>
      </c>
      <c r="D365" s="182">
        <f t="shared" si="99"/>
        <v>0</v>
      </c>
      <c r="E365" s="182">
        <f t="shared" si="99"/>
        <v>0</v>
      </c>
      <c r="F365" s="182">
        <f t="shared" si="99"/>
        <v>0</v>
      </c>
      <c r="G365" s="182">
        <f t="shared" si="99"/>
        <v>0</v>
      </c>
      <c r="H365" s="182">
        <f t="shared" si="99"/>
        <v>0</v>
      </c>
      <c r="I365" s="182">
        <f>SUM(I362:I364)</f>
        <v>0</v>
      </c>
      <c r="J365" s="182">
        <f>SUM(J362:J364)</f>
        <v>0</v>
      </c>
      <c r="K365" s="182">
        <f>SUM(K362:K364)</f>
        <v>0</v>
      </c>
      <c r="L365" s="182">
        <f t="shared" si="99"/>
        <v>0</v>
      </c>
      <c r="M365" s="182">
        <f t="shared" si="99"/>
        <v>0</v>
      </c>
      <c r="N365" s="182">
        <f t="shared" si="99"/>
        <v>0</v>
      </c>
      <c r="O365" s="182">
        <f t="shared" si="99"/>
        <v>0</v>
      </c>
      <c r="P365" s="182">
        <f t="shared" si="99"/>
        <v>0</v>
      </c>
      <c r="Q365" s="182">
        <f t="shared" si="99"/>
        <v>0</v>
      </c>
      <c r="R365" s="182">
        <f t="shared" si="99"/>
        <v>0</v>
      </c>
      <c r="S365" s="182">
        <f t="shared" si="99"/>
        <v>0</v>
      </c>
      <c r="T365" s="182">
        <f t="shared" si="99"/>
        <v>0</v>
      </c>
      <c r="U365" s="182">
        <f t="shared" si="99"/>
        <v>0</v>
      </c>
      <c r="V365" s="182">
        <f t="shared" si="99"/>
        <v>0</v>
      </c>
      <c r="W365" s="182">
        <f t="shared" si="99"/>
        <v>0</v>
      </c>
      <c r="X365" s="182">
        <f t="shared" si="99"/>
        <v>0</v>
      </c>
      <c r="Y365" s="182">
        <f t="shared" si="99"/>
        <v>0</v>
      </c>
      <c r="Z365" s="182">
        <f t="shared" si="99"/>
        <v>0</v>
      </c>
      <c r="AA365" s="182">
        <f t="shared" si="99"/>
        <v>0</v>
      </c>
      <c r="AB365" s="182">
        <f t="shared" si="99"/>
        <v>0</v>
      </c>
      <c r="AC365" s="182">
        <f t="shared" si="99"/>
        <v>0</v>
      </c>
      <c r="AD365" s="182">
        <f t="shared" si="99"/>
        <v>0</v>
      </c>
      <c r="AE365" s="182">
        <f t="shared" si="99"/>
        <v>0</v>
      </c>
      <c r="AF365" s="182">
        <f t="shared" si="99"/>
        <v>0</v>
      </c>
      <c r="AG365" s="182">
        <f t="shared" si="99"/>
        <v>0</v>
      </c>
      <c r="AH365" s="182">
        <f t="shared" si="99"/>
        <v>0</v>
      </c>
      <c r="AI365" s="182">
        <f t="shared" si="99"/>
        <v>0</v>
      </c>
      <c r="AJ365" s="182">
        <f t="shared" si="99"/>
        <v>0</v>
      </c>
      <c r="AK365" s="184">
        <f t="shared" si="99"/>
        <v>0</v>
      </c>
      <c r="AL365" s="181"/>
      <c r="AM365" s="18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</row>
    <row r="366" spans="1:61" x14ac:dyDescent="0.2">
      <c r="A366" s="120" t="s">
        <v>75</v>
      </c>
      <c r="B366" s="179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  <c r="M366" s="179"/>
      <c r="N366" s="179"/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79"/>
      <c r="AD366" s="179"/>
      <c r="AE366" s="179"/>
      <c r="AF366" s="179"/>
      <c r="AG366" s="179"/>
      <c r="AH366" s="179"/>
      <c r="AI366" s="179"/>
      <c r="AJ366" s="179"/>
      <c r="AK366" s="190"/>
      <c r="AL366" s="181"/>
      <c r="AM366" s="18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</row>
    <row r="367" spans="1:61" x14ac:dyDescent="0.2">
      <c r="A367" s="110" t="s">
        <v>92</v>
      </c>
      <c r="B367" s="179">
        <f>B240-B304</f>
        <v>0</v>
      </c>
      <c r="C367" s="179">
        <f t="shared" ref="B367:X369" si="100">C240-C304</f>
        <v>0</v>
      </c>
      <c r="D367" s="179">
        <f t="shared" si="100"/>
        <v>0</v>
      </c>
      <c r="E367" s="179">
        <f t="shared" si="100"/>
        <v>0</v>
      </c>
      <c r="F367" s="179">
        <f t="shared" si="100"/>
        <v>0</v>
      </c>
      <c r="G367" s="179">
        <f t="shared" si="100"/>
        <v>0</v>
      </c>
      <c r="H367" s="179">
        <f t="shared" si="100"/>
        <v>0</v>
      </c>
      <c r="I367" s="179">
        <f t="shared" si="100"/>
        <v>0</v>
      </c>
      <c r="J367" s="179">
        <f t="shared" si="100"/>
        <v>0</v>
      </c>
      <c r="K367" s="179">
        <f t="shared" si="100"/>
        <v>0</v>
      </c>
      <c r="L367" s="179">
        <f t="shared" si="100"/>
        <v>0</v>
      </c>
      <c r="M367" s="179">
        <f t="shared" si="100"/>
        <v>0</v>
      </c>
      <c r="N367" s="179">
        <f t="shared" si="100"/>
        <v>0</v>
      </c>
      <c r="O367" s="179">
        <f t="shared" si="100"/>
        <v>0</v>
      </c>
      <c r="P367" s="179">
        <f t="shared" si="100"/>
        <v>0</v>
      </c>
      <c r="Q367" s="179">
        <f t="shared" si="100"/>
        <v>0</v>
      </c>
      <c r="R367" s="179">
        <f t="shared" si="100"/>
        <v>0</v>
      </c>
      <c r="S367" s="179">
        <f t="shared" si="100"/>
        <v>0</v>
      </c>
      <c r="T367" s="179">
        <f t="shared" si="100"/>
        <v>0</v>
      </c>
      <c r="U367" s="179">
        <f t="shared" si="100"/>
        <v>0</v>
      </c>
      <c r="V367" s="179">
        <f t="shared" si="100"/>
        <v>0</v>
      </c>
      <c r="W367" s="179">
        <f t="shared" si="100"/>
        <v>0</v>
      </c>
      <c r="X367" s="179">
        <f t="shared" si="100"/>
        <v>0</v>
      </c>
      <c r="Y367" s="179">
        <f>Y240-Y304</f>
        <v>0</v>
      </c>
      <c r="Z367" s="179">
        <f t="shared" ref="Z367:AK369" si="101">Z240-Z304</f>
        <v>0</v>
      </c>
      <c r="AA367" s="179">
        <f t="shared" si="101"/>
        <v>0</v>
      </c>
      <c r="AB367" s="179">
        <f t="shared" si="101"/>
        <v>0</v>
      </c>
      <c r="AC367" s="179">
        <f t="shared" si="101"/>
        <v>0</v>
      </c>
      <c r="AD367" s="179">
        <f t="shared" si="101"/>
        <v>0</v>
      </c>
      <c r="AE367" s="179">
        <f t="shared" si="101"/>
        <v>0</v>
      </c>
      <c r="AF367" s="179">
        <f t="shared" si="101"/>
        <v>0</v>
      </c>
      <c r="AG367" s="179">
        <f t="shared" si="101"/>
        <v>0</v>
      </c>
      <c r="AH367" s="179">
        <f t="shared" si="101"/>
        <v>0</v>
      </c>
      <c r="AI367" s="179">
        <f t="shared" si="101"/>
        <v>0</v>
      </c>
      <c r="AJ367" s="179">
        <f t="shared" si="101"/>
        <v>0</v>
      </c>
      <c r="AK367" s="180">
        <f t="shared" si="101"/>
        <v>0</v>
      </c>
      <c r="AL367" s="181"/>
      <c r="AM367" s="18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</row>
    <row r="368" spans="1:61" x14ac:dyDescent="0.2">
      <c r="A368" s="110" t="s">
        <v>93</v>
      </c>
      <c r="B368" s="179">
        <f t="shared" si="100"/>
        <v>0</v>
      </c>
      <c r="C368" s="179">
        <f t="shared" si="100"/>
        <v>0</v>
      </c>
      <c r="D368" s="179">
        <f t="shared" si="100"/>
        <v>0</v>
      </c>
      <c r="E368" s="179">
        <f t="shared" si="100"/>
        <v>0</v>
      </c>
      <c r="F368" s="179">
        <f t="shared" si="100"/>
        <v>0</v>
      </c>
      <c r="G368" s="179">
        <f t="shared" si="100"/>
        <v>0</v>
      </c>
      <c r="H368" s="179">
        <f t="shared" si="100"/>
        <v>0</v>
      </c>
      <c r="I368" s="179">
        <f t="shared" si="100"/>
        <v>0</v>
      </c>
      <c r="J368" s="179">
        <f t="shared" si="100"/>
        <v>0</v>
      </c>
      <c r="K368" s="179">
        <f t="shared" si="100"/>
        <v>0</v>
      </c>
      <c r="L368" s="179">
        <f t="shared" si="100"/>
        <v>0</v>
      </c>
      <c r="M368" s="179">
        <f t="shared" si="100"/>
        <v>0</v>
      </c>
      <c r="N368" s="179">
        <f t="shared" si="100"/>
        <v>0</v>
      </c>
      <c r="O368" s="179">
        <f t="shared" si="100"/>
        <v>0</v>
      </c>
      <c r="P368" s="179">
        <f t="shared" si="100"/>
        <v>0</v>
      </c>
      <c r="Q368" s="179">
        <f t="shared" si="100"/>
        <v>0</v>
      </c>
      <c r="R368" s="179">
        <f t="shared" si="100"/>
        <v>0</v>
      </c>
      <c r="S368" s="179">
        <f t="shared" si="100"/>
        <v>0</v>
      </c>
      <c r="T368" s="179">
        <f t="shared" si="100"/>
        <v>0</v>
      </c>
      <c r="U368" s="179">
        <f t="shared" si="100"/>
        <v>0</v>
      </c>
      <c r="V368" s="179">
        <f t="shared" si="100"/>
        <v>0</v>
      </c>
      <c r="W368" s="179">
        <f t="shared" si="100"/>
        <v>0</v>
      </c>
      <c r="X368" s="179">
        <f t="shared" si="100"/>
        <v>0</v>
      </c>
      <c r="Y368" s="179">
        <f>Y241-Y305</f>
        <v>0</v>
      </c>
      <c r="Z368" s="179">
        <f t="shared" si="101"/>
        <v>0</v>
      </c>
      <c r="AA368" s="179">
        <f t="shared" si="101"/>
        <v>0</v>
      </c>
      <c r="AB368" s="179">
        <f t="shared" si="101"/>
        <v>0</v>
      </c>
      <c r="AC368" s="179">
        <f t="shared" si="101"/>
        <v>0</v>
      </c>
      <c r="AD368" s="179">
        <f t="shared" si="101"/>
        <v>0</v>
      </c>
      <c r="AE368" s="179">
        <f t="shared" si="101"/>
        <v>0</v>
      </c>
      <c r="AF368" s="179">
        <f t="shared" si="101"/>
        <v>0</v>
      </c>
      <c r="AG368" s="179">
        <f t="shared" si="101"/>
        <v>0</v>
      </c>
      <c r="AH368" s="179">
        <f t="shared" si="101"/>
        <v>0</v>
      </c>
      <c r="AI368" s="179">
        <f t="shared" si="101"/>
        <v>0</v>
      </c>
      <c r="AJ368" s="179">
        <f t="shared" si="101"/>
        <v>0</v>
      </c>
      <c r="AK368" s="180">
        <f t="shared" si="101"/>
        <v>0</v>
      </c>
      <c r="AL368" s="181"/>
      <c r="AM368" s="18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</row>
    <row r="369" spans="1:61" x14ac:dyDescent="0.2">
      <c r="A369" s="110" t="s">
        <v>1</v>
      </c>
      <c r="B369" s="179">
        <f t="shared" si="100"/>
        <v>0</v>
      </c>
      <c r="C369" s="179">
        <f t="shared" si="100"/>
        <v>0</v>
      </c>
      <c r="D369" s="179">
        <f t="shared" si="100"/>
        <v>0</v>
      </c>
      <c r="E369" s="179">
        <f t="shared" si="100"/>
        <v>0</v>
      </c>
      <c r="F369" s="179">
        <f t="shared" si="100"/>
        <v>0</v>
      </c>
      <c r="G369" s="179">
        <f t="shared" si="100"/>
        <v>0</v>
      </c>
      <c r="H369" s="179">
        <f t="shared" si="100"/>
        <v>0</v>
      </c>
      <c r="I369" s="179">
        <f t="shared" si="100"/>
        <v>0</v>
      </c>
      <c r="J369" s="179">
        <f t="shared" si="100"/>
        <v>0</v>
      </c>
      <c r="K369" s="179">
        <f t="shared" si="100"/>
        <v>0</v>
      </c>
      <c r="L369" s="179">
        <f t="shared" si="100"/>
        <v>0</v>
      </c>
      <c r="M369" s="179">
        <f t="shared" si="100"/>
        <v>0</v>
      </c>
      <c r="N369" s="179">
        <f t="shared" si="100"/>
        <v>0</v>
      </c>
      <c r="O369" s="179">
        <f t="shared" si="100"/>
        <v>0</v>
      </c>
      <c r="P369" s="179">
        <f t="shared" si="100"/>
        <v>0</v>
      </c>
      <c r="Q369" s="179">
        <f t="shared" si="100"/>
        <v>0</v>
      </c>
      <c r="R369" s="179">
        <f t="shared" si="100"/>
        <v>0</v>
      </c>
      <c r="S369" s="179">
        <f t="shared" si="100"/>
        <v>0</v>
      </c>
      <c r="T369" s="179">
        <f t="shared" si="100"/>
        <v>0</v>
      </c>
      <c r="U369" s="179">
        <f t="shared" si="100"/>
        <v>0</v>
      </c>
      <c r="V369" s="179">
        <f t="shared" si="100"/>
        <v>0</v>
      </c>
      <c r="W369" s="179">
        <f t="shared" si="100"/>
        <v>0</v>
      </c>
      <c r="X369" s="179">
        <f t="shared" si="100"/>
        <v>0</v>
      </c>
      <c r="Y369" s="179">
        <f>Y242-Y306</f>
        <v>0</v>
      </c>
      <c r="Z369" s="179">
        <f t="shared" si="101"/>
        <v>0</v>
      </c>
      <c r="AA369" s="179">
        <f t="shared" si="101"/>
        <v>0</v>
      </c>
      <c r="AB369" s="179">
        <f t="shared" si="101"/>
        <v>0</v>
      </c>
      <c r="AC369" s="179">
        <f t="shared" si="101"/>
        <v>0</v>
      </c>
      <c r="AD369" s="179">
        <f t="shared" si="101"/>
        <v>0</v>
      </c>
      <c r="AE369" s="179">
        <f t="shared" si="101"/>
        <v>0</v>
      </c>
      <c r="AF369" s="179">
        <f t="shared" si="101"/>
        <v>0</v>
      </c>
      <c r="AG369" s="179">
        <f t="shared" si="101"/>
        <v>0</v>
      </c>
      <c r="AH369" s="179">
        <f t="shared" si="101"/>
        <v>0</v>
      </c>
      <c r="AI369" s="179">
        <f t="shared" si="101"/>
        <v>0</v>
      </c>
      <c r="AJ369" s="179">
        <f t="shared" si="101"/>
        <v>0</v>
      </c>
      <c r="AK369" s="180">
        <f t="shared" si="101"/>
        <v>0</v>
      </c>
      <c r="AL369" s="181"/>
      <c r="AM369" s="18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</row>
    <row r="370" spans="1:61" x14ac:dyDescent="0.2">
      <c r="A370" s="154" t="s">
        <v>7</v>
      </c>
      <c r="B370" s="182">
        <f t="shared" ref="B370:AK370" si="102">SUM(B367:B369)</f>
        <v>0</v>
      </c>
      <c r="C370" s="182">
        <f t="shared" si="102"/>
        <v>0</v>
      </c>
      <c r="D370" s="182">
        <f t="shared" si="102"/>
        <v>0</v>
      </c>
      <c r="E370" s="182">
        <f t="shared" si="102"/>
        <v>0</v>
      </c>
      <c r="F370" s="182">
        <f t="shared" si="102"/>
        <v>0</v>
      </c>
      <c r="G370" s="182">
        <f t="shared" si="102"/>
        <v>0</v>
      </c>
      <c r="H370" s="182">
        <f t="shared" si="102"/>
        <v>0</v>
      </c>
      <c r="I370" s="182">
        <f>SUM(I367:I369)</f>
        <v>0</v>
      </c>
      <c r="J370" s="182">
        <f>SUM(J367:J369)</f>
        <v>0</v>
      </c>
      <c r="K370" s="182">
        <f>SUM(K367:K369)</f>
        <v>0</v>
      </c>
      <c r="L370" s="182">
        <f t="shared" si="102"/>
        <v>0</v>
      </c>
      <c r="M370" s="182">
        <f t="shared" si="102"/>
        <v>0</v>
      </c>
      <c r="N370" s="182">
        <f t="shared" si="102"/>
        <v>0</v>
      </c>
      <c r="O370" s="182">
        <f t="shared" si="102"/>
        <v>0</v>
      </c>
      <c r="P370" s="182">
        <f t="shared" si="102"/>
        <v>0</v>
      </c>
      <c r="Q370" s="182">
        <f t="shared" si="102"/>
        <v>0</v>
      </c>
      <c r="R370" s="182">
        <f t="shared" si="102"/>
        <v>0</v>
      </c>
      <c r="S370" s="182">
        <f t="shared" si="102"/>
        <v>0</v>
      </c>
      <c r="T370" s="182">
        <f t="shared" si="102"/>
        <v>0</v>
      </c>
      <c r="U370" s="182">
        <f t="shared" si="102"/>
        <v>0</v>
      </c>
      <c r="V370" s="182">
        <f t="shared" si="102"/>
        <v>0</v>
      </c>
      <c r="W370" s="182">
        <f t="shared" si="102"/>
        <v>0</v>
      </c>
      <c r="X370" s="182">
        <f t="shared" si="102"/>
        <v>0</v>
      </c>
      <c r="Y370" s="182">
        <f t="shared" si="102"/>
        <v>0</v>
      </c>
      <c r="Z370" s="182">
        <f t="shared" si="102"/>
        <v>0</v>
      </c>
      <c r="AA370" s="182">
        <f t="shared" si="102"/>
        <v>0</v>
      </c>
      <c r="AB370" s="182">
        <f t="shared" si="102"/>
        <v>0</v>
      </c>
      <c r="AC370" s="182">
        <f t="shared" si="102"/>
        <v>0</v>
      </c>
      <c r="AD370" s="182">
        <f t="shared" si="102"/>
        <v>0</v>
      </c>
      <c r="AE370" s="182">
        <f t="shared" si="102"/>
        <v>0</v>
      </c>
      <c r="AF370" s="182">
        <f t="shared" si="102"/>
        <v>0</v>
      </c>
      <c r="AG370" s="182">
        <f t="shared" si="102"/>
        <v>0</v>
      </c>
      <c r="AH370" s="182">
        <f t="shared" si="102"/>
        <v>0</v>
      </c>
      <c r="AI370" s="182">
        <f t="shared" si="102"/>
        <v>0</v>
      </c>
      <c r="AJ370" s="182">
        <f t="shared" si="102"/>
        <v>0</v>
      </c>
      <c r="AK370" s="184">
        <f t="shared" si="102"/>
        <v>0</v>
      </c>
      <c r="AL370" s="181"/>
      <c r="AM370" s="18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</row>
    <row r="371" spans="1:61" x14ac:dyDescent="0.2">
      <c r="A371" s="120" t="s">
        <v>76</v>
      </c>
      <c r="B371" s="179"/>
      <c r="C371" s="179"/>
      <c r="D371" s="179"/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  <c r="AE371" s="179"/>
      <c r="AF371" s="179"/>
      <c r="AG371" s="179"/>
      <c r="AH371" s="179"/>
      <c r="AI371" s="179"/>
      <c r="AJ371" s="179"/>
      <c r="AK371" s="190"/>
      <c r="AL371" s="181"/>
      <c r="AM371" s="18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</row>
    <row r="372" spans="1:61" x14ac:dyDescent="0.2">
      <c r="A372" s="110" t="s">
        <v>92</v>
      </c>
      <c r="B372" s="179">
        <f>B245-B309</f>
        <v>0</v>
      </c>
      <c r="C372" s="179">
        <f t="shared" ref="C372:AK374" si="103">C245-C309</f>
        <v>0</v>
      </c>
      <c r="D372" s="179">
        <f t="shared" si="103"/>
        <v>0</v>
      </c>
      <c r="E372" s="179">
        <f t="shared" si="103"/>
        <v>0</v>
      </c>
      <c r="F372" s="179">
        <f t="shared" si="103"/>
        <v>0</v>
      </c>
      <c r="G372" s="179">
        <f t="shared" si="103"/>
        <v>0</v>
      </c>
      <c r="H372" s="179">
        <f t="shared" si="103"/>
        <v>0</v>
      </c>
      <c r="I372" s="179">
        <f t="shared" si="103"/>
        <v>0</v>
      </c>
      <c r="J372" s="179">
        <f t="shared" si="103"/>
        <v>0</v>
      </c>
      <c r="K372" s="179">
        <f t="shared" si="103"/>
        <v>0</v>
      </c>
      <c r="L372" s="179">
        <f t="shared" si="103"/>
        <v>0</v>
      </c>
      <c r="M372" s="179">
        <f t="shared" si="103"/>
        <v>0</v>
      </c>
      <c r="N372" s="179">
        <f t="shared" si="103"/>
        <v>0</v>
      </c>
      <c r="O372" s="179">
        <f>O245-O309</f>
        <v>0</v>
      </c>
      <c r="P372" s="179">
        <f t="shared" si="103"/>
        <v>0</v>
      </c>
      <c r="Q372" s="179">
        <f t="shared" si="103"/>
        <v>0</v>
      </c>
      <c r="R372" s="179">
        <f t="shared" si="103"/>
        <v>0</v>
      </c>
      <c r="S372" s="179">
        <f t="shared" si="103"/>
        <v>0</v>
      </c>
      <c r="T372" s="179">
        <f t="shared" si="103"/>
        <v>0</v>
      </c>
      <c r="U372" s="179">
        <f t="shared" si="103"/>
        <v>0</v>
      </c>
      <c r="V372" s="179">
        <f t="shared" si="103"/>
        <v>0</v>
      </c>
      <c r="W372" s="179">
        <f t="shared" si="103"/>
        <v>0</v>
      </c>
      <c r="X372" s="179">
        <f t="shared" si="103"/>
        <v>0</v>
      </c>
      <c r="Y372" s="179">
        <f t="shared" si="103"/>
        <v>0</v>
      </c>
      <c r="Z372" s="179">
        <f t="shared" si="103"/>
        <v>0</v>
      </c>
      <c r="AA372" s="179">
        <f t="shared" si="103"/>
        <v>0</v>
      </c>
      <c r="AB372" s="179">
        <f t="shared" si="103"/>
        <v>0</v>
      </c>
      <c r="AC372" s="179">
        <f t="shared" si="103"/>
        <v>0</v>
      </c>
      <c r="AD372" s="179">
        <f t="shared" si="103"/>
        <v>0</v>
      </c>
      <c r="AE372" s="179">
        <f t="shared" si="103"/>
        <v>0</v>
      </c>
      <c r="AF372" s="179">
        <f t="shared" si="103"/>
        <v>0</v>
      </c>
      <c r="AG372" s="179">
        <f t="shared" si="103"/>
        <v>0</v>
      </c>
      <c r="AH372" s="179">
        <f t="shared" si="103"/>
        <v>0</v>
      </c>
      <c r="AI372" s="179">
        <f t="shared" si="103"/>
        <v>0</v>
      </c>
      <c r="AJ372" s="179">
        <f t="shared" si="103"/>
        <v>0</v>
      </c>
      <c r="AK372" s="180">
        <f t="shared" si="103"/>
        <v>0</v>
      </c>
      <c r="AL372" s="181"/>
      <c r="AM372" s="18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</row>
    <row r="373" spans="1:61" x14ac:dyDescent="0.2">
      <c r="A373" s="110" t="s">
        <v>93</v>
      </c>
      <c r="B373" s="179">
        <f t="shared" ref="B373:H374" si="104">B246-B310</f>
        <v>0</v>
      </c>
      <c r="C373" s="179">
        <f t="shared" si="104"/>
        <v>0</v>
      </c>
      <c r="D373" s="179">
        <f t="shared" si="104"/>
        <v>0</v>
      </c>
      <c r="E373" s="179">
        <f t="shared" si="104"/>
        <v>0</v>
      </c>
      <c r="F373" s="179">
        <f t="shared" si="104"/>
        <v>0</v>
      </c>
      <c r="G373" s="179">
        <f t="shared" si="104"/>
        <v>0</v>
      </c>
      <c r="H373" s="179">
        <f t="shared" si="104"/>
        <v>0</v>
      </c>
      <c r="I373" s="179">
        <f t="shared" si="103"/>
        <v>0</v>
      </c>
      <c r="J373" s="179">
        <f t="shared" si="103"/>
        <v>0</v>
      </c>
      <c r="K373" s="179">
        <f t="shared" si="103"/>
        <v>0</v>
      </c>
      <c r="L373" s="179">
        <f t="shared" si="103"/>
        <v>0</v>
      </c>
      <c r="M373" s="179">
        <f t="shared" si="103"/>
        <v>0</v>
      </c>
      <c r="N373" s="179">
        <f>N246-N310</f>
        <v>0</v>
      </c>
      <c r="O373" s="179">
        <f t="shared" si="103"/>
        <v>0</v>
      </c>
      <c r="P373" s="179">
        <f t="shared" si="103"/>
        <v>0</v>
      </c>
      <c r="Q373" s="179">
        <f t="shared" si="103"/>
        <v>0</v>
      </c>
      <c r="R373" s="179">
        <f t="shared" si="103"/>
        <v>0</v>
      </c>
      <c r="S373" s="179">
        <f t="shared" si="103"/>
        <v>0</v>
      </c>
      <c r="T373" s="179">
        <f t="shared" si="103"/>
        <v>0</v>
      </c>
      <c r="U373" s="179">
        <f t="shared" si="103"/>
        <v>0</v>
      </c>
      <c r="V373" s="179">
        <f t="shared" si="103"/>
        <v>0</v>
      </c>
      <c r="W373" s="179">
        <f t="shared" si="103"/>
        <v>0</v>
      </c>
      <c r="X373" s="179">
        <f t="shared" si="103"/>
        <v>0</v>
      </c>
      <c r="Y373" s="179">
        <f t="shared" si="103"/>
        <v>0</v>
      </c>
      <c r="Z373" s="179">
        <f t="shared" si="103"/>
        <v>0</v>
      </c>
      <c r="AA373" s="179">
        <f t="shared" si="103"/>
        <v>0</v>
      </c>
      <c r="AB373" s="179">
        <f t="shared" si="103"/>
        <v>0</v>
      </c>
      <c r="AC373" s="179">
        <f t="shared" si="103"/>
        <v>0</v>
      </c>
      <c r="AD373" s="179">
        <f t="shared" si="103"/>
        <v>0</v>
      </c>
      <c r="AE373" s="179">
        <f t="shared" si="103"/>
        <v>0</v>
      </c>
      <c r="AF373" s="179">
        <f t="shared" si="103"/>
        <v>0</v>
      </c>
      <c r="AG373" s="179">
        <f t="shared" si="103"/>
        <v>0</v>
      </c>
      <c r="AH373" s="179">
        <f t="shared" si="103"/>
        <v>0</v>
      </c>
      <c r="AI373" s="179">
        <f t="shared" si="103"/>
        <v>0</v>
      </c>
      <c r="AJ373" s="179">
        <f t="shared" si="103"/>
        <v>0</v>
      </c>
      <c r="AK373" s="180">
        <f>AK246-AK310</f>
        <v>0</v>
      </c>
      <c r="AL373" s="181"/>
      <c r="AM373" s="18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</row>
    <row r="374" spans="1:61" x14ac:dyDescent="0.2">
      <c r="A374" s="110" t="s">
        <v>1</v>
      </c>
      <c r="B374" s="179">
        <f t="shared" si="104"/>
        <v>0</v>
      </c>
      <c r="C374" s="179">
        <f t="shared" si="104"/>
        <v>0</v>
      </c>
      <c r="D374" s="179">
        <f t="shared" si="104"/>
        <v>0</v>
      </c>
      <c r="E374" s="179">
        <f t="shared" si="104"/>
        <v>0</v>
      </c>
      <c r="F374" s="179">
        <f t="shared" si="104"/>
        <v>0</v>
      </c>
      <c r="G374" s="179">
        <f t="shared" si="104"/>
        <v>0</v>
      </c>
      <c r="H374" s="179">
        <f t="shared" si="104"/>
        <v>0</v>
      </c>
      <c r="I374" s="179">
        <f t="shared" si="103"/>
        <v>0</v>
      </c>
      <c r="J374" s="179">
        <f t="shared" si="103"/>
        <v>0</v>
      </c>
      <c r="K374" s="179">
        <f t="shared" si="103"/>
        <v>0</v>
      </c>
      <c r="L374" s="179">
        <f t="shared" si="103"/>
        <v>0</v>
      </c>
      <c r="M374" s="179">
        <f t="shared" si="103"/>
        <v>0</v>
      </c>
      <c r="N374" s="179">
        <f t="shared" si="103"/>
        <v>0</v>
      </c>
      <c r="O374" s="179">
        <f t="shared" si="103"/>
        <v>0</v>
      </c>
      <c r="P374" s="179">
        <f t="shared" si="103"/>
        <v>0</v>
      </c>
      <c r="Q374" s="179">
        <f t="shared" si="103"/>
        <v>0</v>
      </c>
      <c r="R374" s="179">
        <f t="shared" si="103"/>
        <v>0</v>
      </c>
      <c r="S374" s="179">
        <f t="shared" si="103"/>
        <v>0</v>
      </c>
      <c r="T374" s="179">
        <f t="shared" si="103"/>
        <v>0</v>
      </c>
      <c r="U374" s="179">
        <f t="shared" si="103"/>
        <v>0</v>
      </c>
      <c r="V374" s="179">
        <f t="shared" si="103"/>
        <v>0</v>
      </c>
      <c r="W374" s="179">
        <f t="shared" si="103"/>
        <v>0</v>
      </c>
      <c r="X374" s="179">
        <f t="shared" si="103"/>
        <v>0</v>
      </c>
      <c r="Y374" s="179">
        <f t="shared" si="103"/>
        <v>0</v>
      </c>
      <c r="Z374" s="179">
        <f t="shared" si="103"/>
        <v>0</v>
      </c>
      <c r="AA374" s="179">
        <f t="shared" si="103"/>
        <v>0</v>
      </c>
      <c r="AB374" s="179">
        <f t="shared" si="103"/>
        <v>0</v>
      </c>
      <c r="AC374" s="179">
        <f t="shared" si="103"/>
        <v>0</v>
      </c>
      <c r="AD374" s="179">
        <f t="shared" si="103"/>
        <v>0</v>
      </c>
      <c r="AE374" s="179">
        <f t="shared" si="103"/>
        <v>0</v>
      </c>
      <c r="AF374" s="179">
        <f t="shared" si="103"/>
        <v>0</v>
      </c>
      <c r="AG374" s="179">
        <f t="shared" si="103"/>
        <v>0</v>
      </c>
      <c r="AH374" s="179">
        <f t="shared" si="103"/>
        <v>0</v>
      </c>
      <c r="AI374" s="179">
        <f t="shared" si="103"/>
        <v>0</v>
      </c>
      <c r="AJ374" s="179">
        <f t="shared" si="103"/>
        <v>0</v>
      </c>
      <c r="AK374" s="180">
        <f>AK247-AK311</f>
        <v>0</v>
      </c>
      <c r="AL374" s="181"/>
      <c r="AM374" s="18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</row>
    <row r="375" spans="1:61" ht="15.75" thickBot="1" x14ac:dyDescent="0.25">
      <c r="A375" s="160" t="s">
        <v>7</v>
      </c>
      <c r="B375" s="191">
        <f>SUM(B372:B374)</f>
        <v>0</v>
      </c>
      <c r="C375" s="191">
        <f t="shared" ref="C375:AK375" si="105">SUM(C372:C374)</f>
        <v>0</v>
      </c>
      <c r="D375" s="191">
        <f t="shared" si="105"/>
        <v>0</v>
      </c>
      <c r="E375" s="191">
        <f t="shared" si="105"/>
        <v>0</v>
      </c>
      <c r="F375" s="191">
        <f t="shared" si="105"/>
        <v>0</v>
      </c>
      <c r="G375" s="191">
        <f t="shared" si="105"/>
        <v>0</v>
      </c>
      <c r="H375" s="191">
        <f t="shared" si="105"/>
        <v>0</v>
      </c>
      <c r="I375" s="191">
        <f>SUM(I372:I374)</f>
        <v>0</v>
      </c>
      <c r="J375" s="191">
        <f>SUM(J372:J374)</f>
        <v>0</v>
      </c>
      <c r="K375" s="191">
        <f>SUM(K372:K374)</f>
        <v>0</v>
      </c>
      <c r="L375" s="191">
        <f t="shared" si="105"/>
        <v>0</v>
      </c>
      <c r="M375" s="191">
        <f t="shared" si="105"/>
        <v>0</v>
      </c>
      <c r="N375" s="191">
        <f t="shared" si="105"/>
        <v>0</v>
      </c>
      <c r="O375" s="191">
        <f t="shared" si="105"/>
        <v>0</v>
      </c>
      <c r="P375" s="191">
        <f t="shared" si="105"/>
        <v>0</v>
      </c>
      <c r="Q375" s="191">
        <f t="shared" si="105"/>
        <v>0</v>
      </c>
      <c r="R375" s="191">
        <f t="shared" si="105"/>
        <v>0</v>
      </c>
      <c r="S375" s="191">
        <f t="shared" si="105"/>
        <v>0</v>
      </c>
      <c r="T375" s="191">
        <f t="shared" si="105"/>
        <v>0</v>
      </c>
      <c r="U375" s="191">
        <f t="shared" si="105"/>
        <v>0</v>
      </c>
      <c r="V375" s="191">
        <f t="shared" si="105"/>
        <v>0</v>
      </c>
      <c r="W375" s="191">
        <f t="shared" si="105"/>
        <v>0</v>
      </c>
      <c r="X375" s="191">
        <f t="shared" si="105"/>
        <v>0</v>
      </c>
      <c r="Y375" s="191">
        <f t="shared" si="105"/>
        <v>0</v>
      </c>
      <c r="Z375" s="191">
        <f t="shared" si="105"/>
        <v>0</v>
      </c>
      <c r="AA375" s="191">
        <f t="shared" si="105"/>
        <v>0</v>
      </c>
      <c r="AB375" s="191">
        <f t="shared" si="105"/>
        <v>0</v>
      </c>
      <c r="AC375" s="191">
        <f t="shared" si="105"/>
        <v>0</v>
      </c>
      <c r="AD375" s="191">
        <f t="shared" si="105"/>
        <v>0</v>
      </c>
      <c r="AE375" s="191">
        <f t="shared" si="105"/>
        <v>0</v>
      </c>
      <c r="AF375" s="191">
        <f t="shared" si="105"/>
        <v>0</v>
      </c>
      <c r="AG375" s="191">
        <f t="shared" si="105"/>
        <v>0</v>
      </c>
      <c r="AH375" s="191">
        <f t="shared" si="105"/>
        <v>0</v>
      </c>
      <c r="AI375" s="191">
        <f t="shared" si="105"/>
        <v>0</v>
      </c>
      <c r="AJ375" s="191">
        <f t="shared" si="105"/>
        <v>0</v>
      </c>
      <c r="AK375" s="192">
        <f t="shared" si="105"/>
        <v>0</v>
      </c>
      <c r="AL375" s="181"/>
      <c r="AM375" s="18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</row>
    <row r="376" spans="1:61" ht="15.75" thickBot="1" x14ac:dyDescent="0.25">
      <c r="A376" s="193" t="s">
        <v>143</v>
      </c>
      <c r="B376" s="194">
        <f t="shared" ref="B376:AJ376" si="106">+B320+B325+B330+B335+B340+B345+B350+B355+B360+B365+B370+B375</f>
        <v>7679</v>
      </c>
      <c r="C376" s="194">
        <f t="shared" si="106"/>
        <v>572</v>
      </c>
      <c r="D376" s="194">
        <f t="shared" si="106"/>
        <v>664</v>
      </c>
      <c r="E376" s="194">
        <f t="shared" si="106"/>
        <v>99</v>
      </c>
      <c r="F376" s="194">
        <f t="shared" si="106"/>
        <v>77</v>
      </c>
      <c r="G376" s="194">
        <f t="shared" si="106"/>
        <v>17</v>
      </c>
      <c r="H376" s="194">
        <f t="shared" si="106"/>
        <v>23</v>
      </c>
      <c r="I376" s="194">
        <f t="shared" si="106"/>
        <v>22</v>
      </c>
      <c r="J376" s="194">
        <f t="shared" si="106"/>
        <v>289</v>
      </c>
      <c r="K376" s="194">
        <f t="shared" si="106"/>
        <v>0</v>
      </c>
      <c r="L376" s="194">
        <f t="shared" si="106"/>
        <v>297</v>
      </c>
      <c r="M376" s="194">
        <f t="shared" si="106"/>
        <v>27</v>
      </c>
      <c r="N376" s="194">
        <f t="shared" si="106"/>
        <v>16</v>
      </c>
      <c r="O376" s="194">
        <f t="shared" si="106"/>
        <v>3</v>
      </c>
      <c r="P376" s="194">
        <f t="shared" si="106"/>
        <v>156</v>
      </c>
      <c r="Q376" s="194">
        <f t="shared" si="106"/>
        <v>4</v>
      </c>
      <c r="R376" s="194">
        <f t="shared" si="106"/>
        <v>1</v>
      </c>
      <c r="S376" s="194">
        <f t="shared" si="106"/>
        <v>3</v>
      </c>
      <c r="T376" s="194">
        <f t="shared" si="106"/>
        <v>69</v>
      </c>
      <c r="U376" s="194">
        <f t="shared" si="106"/>
        <v>67</v>
      </c>
      <c r="V376" s="194">
        <f t="shared" si="106"/>
        <v>78</v>
      </c>
      <c r="W376" s="194">
        <f t="shared" si="106"/>
        <v>88</v>
      </c>
      <c r="X376" s="194">
        <f t="shared" si="106"/>
        <v>129</v>
      </c>
      <c r="Y376" s="194">
        <f t="shared" si="106"/>
        <v>30</v>
      </c>
      <c r="Z376" s="194">
        <f t="shared" si="106"/>
        <v>176</v>
      </c>
      <c r="AA376" s="194">
        <f t="shared" si="106"/>
        <v>69</v>
      </c>
      <c r="AB376" s="194">
        <f t="shared" si="106"/>
        <v>239</v>
      </c>
      <c r="AC376" s="194">
        <f t="shared" si="106"/>
        <v>6</v>
      </c>
      <c r="AD376" s="194">
        <f t="shared" si="106"/>
        <v>105</v>
      </c>
      <c r="AE376" s="194">
        <f t="shared" si="106"/>
        <v>17</v>
      </c>
      <c r="AF376" s="194">
        <f t="shared" si="106"/>
        <v>14</v>
      </c>
      <c r="AG376" s="194">
        <f t="shared" si="106"/>
        <v>838</v>
      </c>
      <c r="AH376" s="194">
        <f t="shared" si="106"/>
        <v>735</v>
      </c>
      <c r="AI376" s="194">
        <f t="shared" si="106"/>
        <v>327</v>
      </c>
      <c r="AJ376" s="194">
        <f t="shared" si="106"/>
        <v>191</v>
      </c>
      <c r="AK376" s="195">
        <f>+AK320+AK325+AK330+AK335+AK340+AK345+AK350+AK355+AK360+AK365+AK370+AK375</f>
        <v>13127</v>
      </c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</row>
    <row r="377" spans="1:61" x14ac:dyDescent="0.2">
      <c r="B377" s="197"/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</row>
    <row r="378" spans="1:61" x14ac:dyDescent="0.2">
      <c r="B378" s="197"/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</row>
    <row r="379" spans="1:61" x14ac:dyDescent="0.2">
      <c r="A379" s="198" t="s">
        <v>244</v>
      </c>
      <c r="B379" s="197"/>
      <c r="C379" s="197"/>
      <c r="D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</row>
    <row r="380" spans="1:61" x14ac:dyDescent="0.2">
      <c r="B380" s="197"/>
      <c r="C380" s="197"/>
      <c r="D380" s="197"/>
      <c r="E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</row>
    <row r="381" spans="1:61" x14ac:dyDescent="0.2">
      <c r="B381" s="197"/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</row>
    <row r="382" spans="1:61" x14ac:dyDescent="0.2">
      <c r="B382" s="197"/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</row>
    <row r="383" spans="1:61" x14ac:dyDescent="0.2">
      <c r="B383" s="197"/>
      <c r="C383" s="197"/>
      <c r="D383" s="197"/>
      <c r="E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</row>
    <row r="384" spans="1:61" x14ac:dyDescent="0.2">
      <c r="B384" s="197"/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</row>
    <row r="385" spans="2:61" x14ac:dyDescent="0.2">
      <c r="B385" s="197"/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</row>
    <row r="386" spans="2:61" x14ac:dyDescent="0.2">
      <c r="B386" s="197"/>
      <c r="C386" s="197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</row>
    <row r="387" spans="2:61" x14ac:dyDescent="0.2">
      <c r="B387" s="197"/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</row>
    <row r="388" spans="2:61" x14ac:dyDescent="0.2">
      <c r="B388" s="197"/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</row>
    <row r="389" spans="2:61" x14ac:dyDescent="0.2">
      <c r="B389" s="197"/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</row>
    <row r="390" spans="2:61" x14ac:dyDescent="0.2">
      <c r="B390" s="197"/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</row>
    <row r="391" spans="2:61" x14ac:dyDescent="0.2">
      <c r="B391" s="197"/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</row>
    <row r="392" spans="2:61" x14ac:dyDescent="0.2">
      <c r="B392" s="197"/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</row>
    <row r="393" spans="2:61" x14ac:dyDescent="0.2">
      <c r="B393" s="197"/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</row>
    <row r="394" spans="2:61" x14ac:dyDescent="0.2">
      <c r="B394" s="197"/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</row>
    <row r="395" spans="2:61" x14ac:dyDescent="0.2">
      <c r="B395" s="197"/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</row>
    <row r="396" spans="2:61" x14ac:dyDescent="0.2">
      <c r="B396" s="197"/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</row>
    <row r="397" spans="2:61" x14ac:dyDescent="0.2">
      <c r="B397" s="197"/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</row>
    <row r="398" spans="2:61" x14ac:dyDescent="0.2">
      <c r="B398" s="197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</row>
    <row r="399" spans="2:61" x14ac:dyDescent="0.2">
      <c r="B399" s="197"/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</row>
    <row r="400" spans="2:61" x14ac:dyDescent="0.2">
      <c r="B400" s="197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</row>
    <row r="401" spans="2:61" x14ac:dyDescent="0.2"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</row>
    <row r="402" spans="2:61" x14ac:dyDescent="0.2">
      <c r="B402" s="197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</row>
    <row r="403" spans="2:61" x14ac:dyDescent="0.2">
      <c r="B403" s="197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</row>
    <row r="404" spans="2:61" x14ac:dyDescent="0.2">
      <c r="B404" s="197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</row>
    <row r="405" spans="2:61" x14ac:dyDescent="0.2">
      <c r="B405" s="197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</row>
    <row r="406" spans="2:61" x14ac:dyDescent="0.2">
      <c r="B406" s="197"/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</row>
    <row r="407" spans="2:61" x14ac:dyDescent="0.2">
      <c r="B407" s="197"/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</row>
    <row r="408" spans="2:61" x14ac:dyDescent="0.2">
      <c r="B408" s="197"/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</row>
    <row r="409" spans="2:61" x14ac:dyDescent="0.2">
      <c r="B409" s="197"/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</row>
    <row r="410" spans="2:61" x14ac:dyDescent="0.2">
      <c r="B410" s="197"/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</row>
    <row r="411" spans="2:61" x14ac:dyDescent="0.2">
      <c r="B411" s="197"/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</row>
    <row r="412" spans="2:61" x14ac:dyDescent="0.2">
      <c r="B412" s="197"/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</row>
    <row r="413" spans="2:61" x14ac:dyDescent="0.2">
      <c r="B413" s="197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</row>
    <row r="414" spans="2:61" x14ac:dyDescent="0.2">
      <c r="B414" s="197"/>
      <c r="C414" s="197"/>
      <c r="D414" s="197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</row>
    <row r="415" spans="2:61" x14ac:dyDescent="0.2">
      <c r="B415" s="197"/>
      <c r="C415" s="197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</row>
    <row r="416" spans="2:61" x14ac:dyDescent="0.2">
      <c r="B416" s="197"/>
      <c r="C416" s="197"/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</row>
    <row r="417" spans="2:61" x14ac:dyDescent="0.2">
      <c r="B417" s="197"/>
      <c r="C417" s="197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</row>
    <row r="418" spans="2:61" x14ac:dyDescent="0.2">
      <c r="B418" s="197"/>
      <c r="C418" s="197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</row>
    <row r="419" spans="2:61" x14ac:dyDescent="0.2">
      <c r="B419" s="197"/>
      <c r="C419" s="197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</row>
    <row r="420" spans="2:61" x14ac:dyDescent="0.2"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</row>
    <row r="421" spans="2:61" x14ac:dyDescent="0.2">
      <c r="B421" s="197"/>
      <c r="C421" s="197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</row>
    <row r="422" spans="2:61" x14ac:dyDescent="0.2"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</row>
    <row r="423" spans="2:61" x14ac:dyDescent="0.2"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</row>
    <row r="424" spans="2:61" x14ac:dyDescent="0.2">
      <c r="B424" s="197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</row>
    <row r="425" spans="2:61" x14ac:dyDescent="0.2">
      <c r="B425" s="197"/>
      <c r="C425" s="197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</row>
    <row r="426" spans="2:61" x14ac:dyDescent="0.2">
      <c r="B426" s="197"/>
      <c r="C426" s="197"/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</row>
    <row r="427" spans="2:61" x14ac:dyDescent="0.2">
      <c r="B427" s="197"/>
      <c r="C427" s="197"/>
      <c r="D427" s="197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</row>
    <row r="428" spans="2:61" x14ac:dyDescent="0.2">
      <c r="B428" s="197"/>
      <c r="C428" s="197"/>
      <c r="D428" s="197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</row>
    <row r="429" spans="2:61" x14ac:dyDescent="0.2">
      <c r="B429" s="197"/>
      <c r="C429" s="197"/>
      <c r="D429" s="197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</row>
    <row r="430" spans="2:61" x14ac:dyDescent="0.2">
      <c r="B430" s="197"/>
      <c r="C430" s="197"/>
      <c r="D430" s="197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</row>
    <row r="431" spans="2:61" x14ac:dyDescent="0.2">
      <c r="B431" s="197"/>
      <c r="C431" s="197"/>
      <c r="D431" s="197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  <c r="AH431" s="197"/>
      <c r="AI431" s="197"/>
      <c r="AJ431" s="197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</row>
    <row r="432" spans="2:61" x14ac:dyDescent="0.2">
      <c r="B432" s="197"/>
      <c r="C432" s="197"/>
      <c r="D432" s="197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</row>
    <row r="433" spans="2:61" x14ac:dyDescent="0.2">
      <c r="B433" s="197"/>
      <c r="C433" s="197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</row>
    <row r="434" spans="2:61" x14ac:dyDescent="0.2">
      <c r="B434" s="197"/>
      <c r="C434" s="197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</row>
    <row r="435" spans="2:61" x14ac:dyDescent="0.2">
      <c r="B435" s="197"/>
      <c r="C435" s="197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</row>
    <row r="436" spans="2:61" x14ac:dyDescent="0.2">
      <c r="B436" s="197"/>
      <c r="C436" s="197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</row>
    <row r="437" spans="2:61" x14ac:dyDescent="0.2">
      <c r="B437" s="197"/>
      <c r="C437" s="197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</row>
    <row r="438" spans="2:61" x14ac:dyDescent="0.2">
      <c r="B438" s="197"/>
      <c r="C438" s="197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</row>
    <row r="439" spans="2:61" x14ac:dyDescent="0.2">
      <c r="B439" s="197"/>
      <c r="C439" s="197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</row>
    <row r="440" spans="2:61" x14ac:dyDescent="0.2">
      <c r="B440" s="197"/>
      <c r="C440" s="197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</row>
    <row r="441" spans="2:61" x14ac:dyDescent="0.2">
      <c r="B441" s="197"/>
      <c r="C441" s="197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</row>
    <row r="442" spans="2:61" x14ac:dyDescent="0.2">
      <c r="B442" s="197"/>
      <c r="C442" s="197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</row>
    <row r="443" spans="2:61" x14ac:dyDescent="0.2">
      <c r="B443" s="197"/>
      <c r="C443" s="197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  <c r="AA443" s="197"/>
      <c r="AB443" s="197"/>
      <c r="AC443" s="197"/>
      <c r="AD443" s="197"/>
      <c r="AE443" s="197"/>
      <c r="AF443" s="197"/>
      <c r="AG443" s="197"/>
      <c r="AH443" s="197"/>
      <c r="AI443" s="197"/>
      <c r="AJ443" s="197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</row>
    <row r="444" spans="2:61" x14ac:dyDescent="0.2">
      <c r="B444" s="197"/>
      <c r="C444" s="197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</row>
    <row r="445" spans="2:61" x14ac:dyDescent="0.2"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</row>
    <row r="446" spans="2:61" x14ac:dyDescent="0.2"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</row>
    <row r="447" spans="2:61" x14ac:dyDescent="0.2"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</row>
    <row r="448" spans="2:61" x14ac:dyDescent="0.2"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</row>
    <row r="449" spans="38:61" x14ac:dyDescent="0.2"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</row>
    <row r="450" spans="38:61" x14ac:dyDescent="0.2"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</row>
    <row r="451" spans="38:61" x14ac:dyDescent="0.2"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</row>
    <row r="452" spans="38:61" x14ac:dyDescent="0.2"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</row>
    <row r="453" spans="38:61" x14ac:dyDescent="0.2"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</row>
    <row r="454" spans="38:61" x14ac:dyDescent="0.2"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</row>
    <row r="455" spans="38:61" x14ac:dyDescent="0.2"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</row>
    <row r="456" spans="38:61" x14ac:dyDescent="0.2"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</row>
    <row r="457" spans="38:61" x14ac:dyDescent="0.2"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</row>
    <row r="458" spans="38:61" x14ac:dyDescent="0.2"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</row>
    <row r="459" spans="38:61" x14ac:dyDescent="0.2"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</row>
    <row r="460" spans="38:61" x14ac:dyDescent="0.2"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</row>
    <row r="461" spans="38:61" x14ac:dyDescent="0.2"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</row>
    <row r="462" spans="38:61" x14ac:dyDescent="0.2"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</row>
    <row r="463" spans="38:61" x14ac:dyDescent="0.2"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</row>
    <row r="464" spans="38:61" x14ac:dyDescent="0.2"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</row>
    <row r="465" spans="38:61" x14ac:dyDescent="0.2"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</row>
    <row r="466" spans="38:61" x14ac:dyDescent="0.2"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</row>
    <row r="467" spans="38:61" x14ac:dyDescent="0.2"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</row>
    <row r="468" spans="38:61" x14ac:dyDescent="0.2"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</row>
    <row r="469" spans="38:61" x14ac:dyDescent="0.2"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</row>
    <row r="470" spans="38:61" x14ac:dyDescent="0.2"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</row>
    <row r="471" spans="38:61" x14ac:dyDescent="0.2"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</row>
    <row r="472" spans="38:61" x14ac:dyDescent="0.2"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</row>
    <row r="473" spans="38:61" x14ac:dyDescent="0.2"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</row>
    <row r="474" spans="38:61" x14ac:dyDescent="0.2"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</row>
    <row r="475" spans="38:61" x14ac:dyDescent="0.2"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</row>
    <row r="476" spans="38:61" x14ac:dyDescent="0.2"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</row>
    <row r="477" spans="38:61" x14ac:dyDescent="0.2"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</row>
    <row r="478" spans="38:61" x14ac:dyDescent="0.2"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</row>
    <row r="479" spans="38:61" x14ac:dyDescent="0.2"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</row>
    <row r="480" spans="38:61" x14ac:dyDescent="0.2"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</row>
    <row r="481" spans="38:61" x14ac:dyDescent="0.2"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</row>
    <row r="482" spans="38:61" x14ac:dyDescent="0.2"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</row>
    <row r="483" spans="38:61" x14ac:dyDescent="0.2"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</row>
    <row r="484" spans="38:61" x14ac:dyDescent="0.2"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</row>
    <row r="485" spans="38:61" x14ac:dyDescent="0.2"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</row>
    <row r="486" spans="38:61" x14ac:dyDescent="0.2"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</row>
    <row r="487" spans="38:61" x14ac:dyDescent="0.2"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</row>
    <row r="488" spans="38:61" x14ac:dyDescent="0.2"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</row>
    <row r="489" spans="38:61" x14ac:dyDescent="0.2"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</row>
    <row r="490" spans="38:61" x14ac:dyDescent="0.2"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</row>
    <row r="491" spans="38:61" x14ac:dyDescent="0.2"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</row>
    <row r="492" spans="38:61" x14ac:dyDescent="0.2"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</row>
    <row r="493" spans="38:61" x14ac:dyDescent="0.2"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</row>
    <row r="494" spans="38:61" x14ac:dyDescent="0.2"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</row>
    <row r="495" spans="38:61" x14ac:dyDescent="0.2"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</row>
    <row r="496" spans="38:61" x14ac:dyDescent="0.2"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</row>
    <row r="497" spans="38:61" x14ac:dyDescent="0.2"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</row>
    <row r="498" spans="38:61" x14ac:dyDescent="0.2"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</row>
    <row r="499" spans="38:61" x14ac:dyDescent="0.2"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</row>
    <row r="500" spans="38:61" x14ac:dyDescent="0.2"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</row>
    <row r="501" spans="38:61" x14ac:dyDescent="0.2"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</row>
    <row r="502" spans="38:61" x14ac:dyDescent="0.2"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</row>
    <row r="503" spans="38:61" x14ac:dyDescent="0.2"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</row>
    <row r="504" spans="38:61" x14ac:dyDescent="0.2"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</row>
    <row r="505" spans="38:61" x14ac:dyDescent="0.2"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</row>
    <row r="506" spans="38:61" x14ac:dyDescent="0.2"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</row>
    <row r="507" spans="38:61" x14ac:dyDescent="0.2"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</row>
    <row r="508" spans="38:61" x14ac:dyDescent="0.2"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</row>
    <row r="509" spans="38:61" x14ac:dyDescent="0.2"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</row>
    <row r="510" spans="38:61" x14ac:dyDescent="0.2"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</row>
    <row r="511" spans="38:61" x14ac:dyDescent="0.2"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</row>
    <row r="512" spans="38:61" x14ac:dyDescent="0.2"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</row>
    <row r="513" spans="38:61" x14ac:dyDescent="0.2"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</row>
    <row r="514" spans="38:61" x14ac:dyDescent="0.2"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</row>
    <row r="515" spans="38:61" x14ac:dyDescent="0.2"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</row>
    <row r="516" spans="38:61" x14ac:dyDescent="0.2"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</row>
    <row r="517" spans="38:61" x14ac:dyDescent="0.2"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</row>
    <row r="518" spans="38:61" x14ac:dyDescent="0.2"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</row>
    <row r="519" spans="38:61" x14ac:dyDescent="0.2"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</row>
    <row r="520" spans="38:61" x14ac:dyDescent="0.2"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</row>
    <row r="521" spans="38:61" x14ac:dyDescent="0.2"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</row>
    <row r="522" spans="38:61" x14ac:dyDescent="0.2"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</row>
    <row r="523" spans="38:61" x14ac:dyDescent="0.2"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</row>
    <row r="524" spans="38:61" x14ac:dyDescent="0.2"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</row>
    <row r="525" spans="38:61" x14ac:dyDescent="0.2"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</row>
    <row r="526" spans="38:61" x14ac:dyDescent="0.2"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</row>
    <row r="527" spans="38:61" x14ac:dyDescent="0.2"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</row>
    <row r="528" spans="38:61" x14ac:dyDescent="0.2"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</row>
    <row r="529" spans="38:61" x14ac:dyDescent="0.2"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</row>
    <row r="530" spans="38:61" x14ac:dyDescent="0.2"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</row>
    <row r="531" spans="38:61" x14ac:dyDescent="0.2"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</row>
    <row r="532" spans="38:61" x14ac:dyDescent="0.2"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</row>
    <row r="533" spans="38:61" x14ac:dyDescent="0.2"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</row>
    <row r="534" spans="38:61" x14ac:dyDescent="0.2"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</row>
    <row r="535" spans="38:61" x14ac:dyDescent="0.2"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</row>
    <row r="536" spans="38:61" x14ac:dyDescent="0.2"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</row>
    <row r="537" spans="38:61" x14ac:dyDescent="0.2"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</row>
    <row r="538" spans="38:61" x14ac:dyDescent="0.2"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</row>
    <row r="539" spans="38:61" x14ac:dyDescent="0.2"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</row>
    <row r="540" spans="38:61" x14ac:dyDescent="0.2"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</row>
    <row r="541" spans="38:61" x14ac:dyDescent="0.2"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</row>
    <row r="542" spans="38:61" x14ac:dyDescent="0.2"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</row>
    <row r="543" spans="38:61" x14ac:dyDescent="0.2"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</row>
    <row r="544" spans="38:61" x14ac:dyDescent="0.2"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</row>
    <row r="545" spans="38:61" x14ac:dyDescent="0.2"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</row>
    <row r="546" spans="38:61" x14ac:dyDescent="0.2"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</row>
    <row r="547" spans="38:61" x14ac:dyDescent="0.2"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</row>
    <row r="548" spans="38:61" x14ac:dyDescent="0.2"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</row>
    <row r="549" spans="38:61" x14ac:dyDescent="0.2"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</row>
    <row r="550" spans="38:61" x14ac:dyDescent="0.2"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</row>
    <row r="551" spans="38:61" x14ac:dyDescent="0.2"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</row>
    <row r="552" spans="38:61" x14ac:dyDescent="0.2"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</row>
    <row r="553" spans="38:61" x14ac:dyDescent="0.2"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</row>
    <row r="554" spans="38:61" x14ac:dyDescent="0.2"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</row>
    <row r="555" spans="38:61" x14ac:dyDescent="0.2"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</row>
    <row r="556" spans="38:61" x14ac:dyDescent="0.2"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</row>
    <row r="557" spans="38:61" x14ac:dyDescent="0.2"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</row>
    <row r="558" spans="38:61" x14ac:dyDescent="0.2"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</row>
    <row r="559" spans="38:61" x14ac:dyDescent="0.2"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</row>
    <row r="560" spans="38:61" x14ac:dyDescent="0.2"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</row>
    <row r="561" spans="38:61" x14ac:dyDescent="0.2"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</row>
    <row r="562" spans="38:61" x14ac:dyDescent="0.2"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</row>
    <row r="563" spans="38:61" x14ac:dyDescent="0.2"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</row>
    <row r="564" spans="38:61" x14ac:dyDescent="0.2"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</row>
    <row r="565" spans="38:61" x14ac:dyDescent="0.2"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</row>
    <row r="566" spans="38:61" x14ac:dyDescent="0.2"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</row>
    <row r="567" spans="38:61" x14ac:dyDescent="0.2"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</row>
    <row r="568" spans="38:61" x14ac:dyDescent="0.2"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</row>
    <row r="569" spans="38:61" x14ac:dyDescent="0.2"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</row>
    <row r="570" spans="38:61" x14ac:dyDescent="0.2"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</row>
    <row r="571" spans="38:61" x14ac:dyDescent="0.2"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</row>
    <row r="572" spans="38:61" x14ac:dyDescent="0.2"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</row>
    <row r="573" spans="38:61" x14ac:dyDescent="0.2"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</row>
    <row r="574" spans="38:61" x14ac:dyDescent="0.2"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</row>
    <row r="575" spans="38:61" x14ac:dyDescent="0.2"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</row>
    <row r="576" spans="38:61" x14ac:dyDescent="0.2"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</row>
    <row r="577" spans="38:61" x14ac:dyDescent="0.2"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</row>
    <row r="578" spans="38:61" x14ac:dyDescent="0.2"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</row>
    <row r="579" spans="38:61" x14ac:dyDescent="0.2"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</row>
    <row r="580" spans="38:61" x14ac:dyDescent="0.2"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</row>
    <row r="581" spans="38:61" x14ac:dyDescent="0.2"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</row>
    <row r="582" spans="38:61" x14ac:dyDescent="0.2"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</row>
    <row r="583" spans="38:61" x14ac:dyDescent="0.2"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</row>
    <row r="584" spans="38:61" x14ac:dyDescent="0.2"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</row>
    <row r="585" spans="38:61" x14ac:dyDescent="0.2"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</row>
    <row r="586" spans="38:61" x14ac:dyDescent="0.2"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</row>
    <row r="587" spans="38:61" x14ac:dyDescent="0.2"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</row>
    <row r="588" spans="38:61" x14ac:dyDescent="0.2"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</row>
    <row r="589" spans="38:61" x14ac:dyDescent="0.2"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</row>
    <row r="590" spans="38:61" x14ac:dyDescent="0.2"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</row>
    <row r="591" spans="38:61" x14ac:dyDescent="0.2"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</row>
    <row r="592" spans="38:61" x14ac:dyDescent="0.2"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</row>
    <row r="593" spans="38:61" x14ac:dyDescent="0.2"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</row>
    <row r="594" spans="38:61" x14ac:dyDescent="0.2"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</row>
    <row r="595" spans="38:61" x14ac:dyDescent="0.2"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</row>
    <row r="596" spans="38:61" x14ac:dyDescent="0.2"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</row>
    <row r="597" spans="38:61" x14ac:dyDescent="0.2"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</row>
    <row r="598" spans="38:61" x14ac:dyDescent="0.2"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</row>
    <row r="599" spans="38:61" x14ac:dyDescent="0.2"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</row>
    <row r="600" spans="38:61" x14ac:dyDescent="0.2"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</row>
    <row r="601" spans="38:61" x14ac:dyDescent="0.2"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</row>
    <row r="602" spans="38:61" x14ac:dyDescent="0.2"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</row>
    <row r="603" spans="38:61" x14ac:dyDescent="0.2"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</row>
    <row r="604" spans="38:61" x14ac:dyDescent="0.2"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</row>
    <row r="605" spans="38:61" x14ac:dyDescent="0.2"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</row>
    <row r="606" spans="38:61" x14ac:dyDescent="0.2"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</row>
    <row r="607" spans="38:61" x14ac:dyDescent="0.2"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</row>
    <row r="608" spans="38:61" x14ac:dyDescent="0.2"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</row>
    <row r="609" spans="38:61" x14ac:dyDescent="0.2"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</row>
    <row r="610" spans="38:61" x14ac:dyDescent="0.2"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</row>
    <row r="611" spans="38:61" x14ac:dyDescent="0.2"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</row>
    <row r="612" spans="38:61" x14ac:dyDescent="0.2"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</row>
    <row r="613" spans="38:61" x14ac:dyDescent="0.2"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</row>
    <row r="614" spans="38:61" x14ac:dyDescent="0.2"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</row>
    <row r="615" spans="38:61" x14ac:dyDescent="0.2"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</row>
    <row r="616" spans="38:61" x14ac:dyDescent="0.2"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</row>
    <row r="617" spans="38:61" x14ac:dyDescent="0.2"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</row>
    <row r="618" spans="38:61" x14ac:dyDescent="0.2"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</row>
    <row r="619" spans="38:61" x14ac:dyDescent="0.2"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</row>
    <row r="620" spans="38:61" x14ac:dyDescent="0.2"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</row>
    <row r="621" spans="38:61" x14ac:dyDescent="0.2"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</row>
    <row r="622" spans="38:61" x14ac:dyDescent="0.2"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</row>
    <row r="623" spans="38:61" x14ac:dyDescent="0.2"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</row>
    <row r="624" spans="38:61" x14ac:dyDescent="0.2"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</row>
    <row r="625" spans="38:61" x14ac:dyDescent="0.2"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</row>
    <row r="626" spans="38:61" x14ac:dyDescent="0.2"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</row>
    <row r="627" spans="38:61" x14ac:dyDescent="0.2"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</row>
    <row r="628" spans="38:61" x14ac:dyDescent="0.2"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</row>
    <row r="629" spans="38:61" x14ac:dyDescent="0.2"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</row>
    <row r="630" spans="38:61" x14ac:dyDescent="0.2"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</row>
    <row r="631" spans="38:61" x14ac:dyDescent="0.2"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</row>
    <row r="632" spans="38:61" x14ac:dyDescent="0.2"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</row>
    <row r="633" spans="38:61" x14ac:dyDescent="0.2"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</row>
    <row r="634" spans="38:61" x14ac:dyDescent="0.2"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</row>
    <row r="635" spans="38:61" x14ac:dyDescent="0.2"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</row>
    <row r="636" spans="38:61" x14ac:dyDescent="0.2"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</row>
    <row r="637" spans="38:61" x14ac:dyDescent="0.2"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</row>
    <row r="638" spans="38:61" x14ac:dyDescent="0.2"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</row>
    <row r="639" spans="38:61" x14ac:dyDescent="0.2"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</row>
    <row r="640" spans="38:61" x14ac:dyDescent="0.2"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</row>
    <row r="641" spans="38:61" x14ac:dyDescent="0.2"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</row>
    <row r="642" spans="38:61" x14ac:dyDescent="0.2"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</row>
    <row r="643" spans="38:61" x14ac:dyDescent="0.2"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</row>
    <row r="644" spans="38:61" x14ac:dyDescent="0.2"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</row>
    <row r="645" spans="38:61" x14ac:dyDescent="0.2"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</row>
    <row r="646" spans="38:61" x14ac:dyDescent="0.2"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</row>
    <row r="647" spans="38:61" x14ac:dyDescent="0.2"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</row>
    <row r="648" spans="38:61" x14ac:dyDescent="0.2"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</row>
    <row r="649" spans="38:61" x14ac:dyDescent="0.2"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</row>
    <row r="650" spans="38:61" x14ac:dyDescent="0.2"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</row>
    <row r="651" spans="38:61" x14ac:dyDescent="0.2"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</row>
    <row r="652" spans="38:61" x14ac:dyDescent="0.2"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</row>
    <row r="653" spans="38:61" x14ac:dyDescent="0.2"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</row>
    <row r="654" spans="38:61" x14ac:dyDescent="0.2"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</row>
    <row r="655" spans="38:61" x14ac:dyDescent="0.2"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</row>
    <row r="656" spans="38:61" x14ac:dyDescent="0.2"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</row>
    <row r="657" spans="38:61" x14ac:dyDescent="0.2"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</row>
    <row r="658" spans="38:61" x14ac:dyDescent="0.2"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</row>
    <row r="659" spans="38:61" x14ac:dyDescent="0.2"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</row>
    <row r="660" spans="38:61" x14ac:dyDescent="0.2"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</row>
    <row r="661" spans="38:61" x14ac:dyDescent="0.2"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</row>
    <row r="662" spans="38:61" x14ac:dyDescent="0.2"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</row>
    <row r="663" spans="38:61" x14ac:dyDescent="0.2"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</row>
    <row r="664" spans="38:61" x14ac:dyDescent="0.2"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</row>
    <row r="665" spans="38:61" x14ac:dyDescent="0.2"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</row>
    <row r="666" spans="38:61" x14ac:dyDescent="0.2"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</row>
    <row r="667" spans="38:61" x14ac:dyDescent="0.2"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</row>
    <row r="668" spans="38:61" x14ac:dyDescent="0.2"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</row>
    <row r="669" spans="38:61" x14ac:dyDescent="0.2"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</row>
    <row r="670" spans="38:61" x14ac:dyDescent="0.2"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</row>
    <row r="671" spans="38:61" x14ac:dyDescent="0.2"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</row>
    <row r="672" spans="38:61" x14ac:dyDescent="0.2"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</row>
    <row r="673" spans="38:61" x14ac:dyDescent="0.2"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</row>
    <row r="674" spans="38:61" x14ac:dyDescent="0.2"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</row>
    <row r="675" spans="38:61" x14ac:dyDescent="0.2"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</row>
    <row r="676" spans="38:61" x14ac:dyDescent="0.2"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</row>
    <row r="677" spans="38:61" x14ac:dyDescent="0.2"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</row>
    <row r="678" spans="38:61" x14ac:dyDescent="0.2"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</row>
    <row r="679" spans="38:61" x14ac:dyDescent="0.2"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</row>
    <row r="680" spans="38:61" x14ac:dyDescent="0.2"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</row>
    <row r="681" spans="38:61" x14ac:dyDescent="0.2"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</row>
    <row r="682" spans="38:61" x14ac:dyDescent="0.2"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</row>
    <row r="683" spans="38:61" x14ac:dyDescent="0.2"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</row>
    <row r="684" spans="38:61" x14ac:dyDescent="0.2"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</row>
    <row r="685" spans="38:61" x14ac:dyDescent="0.2"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</row>
    <row r="686" spans="38:61" x14ac:dyDescent="0.2"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</row>
    <row r="687" spans="38:61" x14ac:dyDescent="0.2"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</row>
    <row r="688" spans="38:61" x14ac:dyDescent="0.2"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</row>
    <row r="689" spans="38:61" x14ac:dyDescent="0.2"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</row>
    <row r="690" spans="38:61" x14ac:dyDescent="0.2"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</row>
    <row r="691" spans="38:61" x14ac:dyDescent="0.2"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</row>
    <row r="692" spans="38:61" x14ac:dyDescent="0.2"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</row>
    <row r="693" spans="38:61" x14ac:dyDescent="0.2"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</row>
    <row r="694" spans="38:61" x14ac:dyDescent="0.2"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</row>
    <row r="695" spans="38:61" x14ac:dyDescent="0.2"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</row>
    <row r="696" spans="38:61" x14ac:dyDescent="0.2"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</row>
    <row r="697" spans="38:61" x14ac:dyDescent="0.2"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</row>
    <row r="698" spans="38:61" x14ac:dyDescent="0.2"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</row>
    <row r="699" spans="38:61" x14ac:dyDescent="0.2"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</row>
    <row r="700" spans="38:61" x14ac:dyDescent="0.2"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</row>
    <row r="701" spans="38:61" x14ac:dyDescent="0.2"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</row>
    <row r="702" spans="38:61" x14ac:dyDescent="0.2"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</row>
    <row r="703" spans="38:61" x14ac:dyDescent="0.2"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</row>
    <row r="704" spans="38:61" x14ac:dyDescent="0.2"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</row>
    <row r="705" spans="38:61" x14ac:dyDescent="0.2"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</row>
    <row r="706" spans="38:61" x14ac:dyDescent="0.2"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</row>
    <row r="707" spans="38:61" x14ac:dyDescent="0.2"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</row>
    <row r="708" spans="38:61" x14ac:dyDescent="0.2"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</row>
    <row r="709" spans="38:61" x14ac:dyDescent="0.2"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</row>
    <row r="710" spans="38:61" x14ac:dyDescent="0.2"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</row>
    <row r="711" spans="38:61" x14ac:dyDescent="0.2"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</row>
    <row r="712" spans="38:61" x14ac:dyDescent="0.2"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</row>
    <row r="713" spans="38:61" x14ac:dyDescent="0.2"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</row>
    <row r="714" spans="38:61" x14ac:dyDescent="0.2"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</row>
    <row r="715" spans="38:61" x14ac:dyDescent="0.2"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</row>
    <row r="716" spans="38:61" x14ac:dyDescent="0.2"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</row>
    <row r="717" spans="38:61" x14ac:dyDescent="0.2"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</row>
    <row r="718" spans="38:61" x14ac:dyDescent="0.2"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</row>
    <row r="719" spans="38:61" x14ac:dyDescent="0.2"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</row>
    <row r="720" spans="38:61" x14ac:dyDescent="0.2"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</row>
    <row r="721" spans="38:61" x14ac:dyDescent="0.2"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</row>
    <row r="722" spans="38:61" x14ac:dyDescent="0.2"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</row>
    <row r="723" spans="38:61" x14ac:dyDescent="0.2"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</row>
    <row r="724" spans="38:61" x14ac:dyDescent="0.2"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</row>
    <row r="725" spans="38:61" x14ac:dyDescent="0.2"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</row>
    <row r="726" spans="38:61" x14ac:dyDescent="0.2"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</row>
    <row r="727" spans="38:61" x14ac:dyDescent="0.2"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</row>
    <row r="728" spans="38:61" x14ac:dyDescent="0.2"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</row>
    <row r="729" spans="38:61" x14ac:dyDescent="0.2"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</row>
    <row r="730" spans="38:61" x14ac:dyDescent="0.2"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</row>
    <row r="731" spans="38:61" x14ac:dyDescent="0.2"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</row>
    <row r="732" spans="38:61" x14ac:dyDescent="0.2"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</row>
    <row r="733" spans="38:61" x14ac:dyDescent="0.2"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</row>
    <row r="734" spans="38:61" x14ac:dyDescent="0.2"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</row>
    <row r="735" spans="38:61" x14ac:dyDescent="0.2"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</row>
    <row r="736" spans="38:61" x14ac:dyDescent="0.2"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</row>
    <row r="737" spans="38:61" x14ac:dyDescent="0.2"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</row>
    <row r="738" spans="38:61" x14ac:dyDescent="0.2"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</row>
    <row r="739" spans="38:61" x14ac:dyDescent="0.2"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</row>
    <row r="740" spans="38:61" x14ac:dyDescent="0.2"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</row>
    <row r="741" spans="38:61" x14ac:dyDescent="0.2"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</row>
    <row r="742" spans="38:61" x14ac:dyDescent="0.2"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</row>
    <row r="743" spans="38:61" x14ac:dyDescent="0.2"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</row>
    <row r="744" spans="38:61" x14ac:dyDescent="0.2"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</row>
    <row r="745" spans="38:61" x14ac:dyDescent="0.2"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</row>
    <row r="746" spans="38:61" x14ac:dyDescent="0.2"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</row>
    <row r="747" spans="38:61" x14ac:dyDescent="0.2"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</row>
    <row r="748" spans="38:61" x14ac:dyDescent="0.2"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</row>
    <row r="749" spans="38:61" x14ac:dyDescent="0.2"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</row>
    <row r="750" spans="38:61" x14ac:dyDescent="0.2"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</row>
    <row r="751" spans="38:61" x14ac:dyDescent="0.2"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</row>
    <row r="752" spans="38:61" x14ac:dyDescent="0.2"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</row>
    <row r="753" spans="38:61" x14ac:dyDescent="0.2"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</row>
    <row r="754" spans="38:61" x14ac:dyDescent="0.2"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</row>
    <row r="755" spans="38:61" x14ac:dyDescent="0.2"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</row>
    <row r="756" spans="38:61" x14ac:dyDescent="0.2"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</row>
    <row r="757" spans="38:61" x14ac:dyDescent="0.2"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</row>
    <row r="758" spans="38:61" x14ac:dyDescent="0.2"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</row>
    <row r="759" spans="38:61" x14ac:dyDescent="0.2"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</row>
    <row r="760" spans="38:61" x14ac:dyDescent="0.2"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</row>
    <row r="761" spans="38:61" x14ac:dyDescent="0.2"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</row>
    <row r="762" spans="38:61" x14ac:dyDescent="0.2"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</row>
    <row r="763" spans="38:61" x14ac:dyDescent="0.2"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</row>
    <row r="764" spans="38:61" x14ac:dyDescent="0.2"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</row>
    <row r="765" spans="38:61" x14ac:dyDescent="0.2"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</row>
    <row r="766" spans="38:61" x14ac:dyDescent="0.2"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</row>
    <row r="767" spans="38:61" x14ac:dyDescent="0.2"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</row>
    <row r="768" spans="38:61" x14ac:dyDescent="0.2"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</row>
    <row r="769" spans="38:61" x14ac:dyDescent="0.2"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</row>
    <row r="770" spans="38:61" x14ac:dyDescent="0.2"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</row>
    <row r="771" spans="38:61" x14ac:dyDescent="0.2"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</row>
    <row r="772" spans="38:61" x14ac:dyDescent="0.2"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</row>
    <row r="773" spans="38:61" x14ac:dyDescent="0.2"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</row>
    <row r="774" spans="38:61" x14ac:dyDescent="0.2"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</row>
    <row r="775" spans="38:61" x14ac:dyDescent="0.2"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</row>
    <row r="776" spans="38:61" x14ac:dyDescent="0.2"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</row>
    <row r="777" spans="38:61" x14ac:dyDescent="0.2"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</row>
    <row r="778" spans="38:61" x14ac:dyDescent="0.2"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</row>
    <row r="779" spans="38:61" x14ac:dyDescent="0.2"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</row>
    <row r="780" spans="38:61" x14ac:dyDescent="0.2"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</row>
    <row r="781" spans="38:61" x14ac:dyDescent="0.2"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</row>
    <row r="782" spans="38:61" x14ac:dyDescent="0.2"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</row>
    <row r="783" spans="38:61" x14ac:dyDescent="0.2"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</row>
    <row r="784" spans="38:61" x14ac:dyDescent="0.2"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</row>
    <row r="785" spans="38:61" x14ac:dyDescent="0.2"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</row>
    <row r="786" spans="38:61" x14ac:dyDescent="0.2"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</row>
    <row r="787" spans="38:61" x14ac:dyDescent="0.2"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</row>
    <row r="788" spans="38:61" x14ac:dyDescent="0.2"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</row>
    <row r="789" spans="38:61" x14ac:dyDescent="0.2"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</row>
    <row r="790" spans="38:61" x14ac:dyDescent="0.2"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</row>
    <row r="791" spans="38:61" x14ac:dyDescent="0.2"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</row>
    <row r="792" spans="38:61" x14ac:dyDescent="0.2"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</row>
    <row r="793" spans="38:61" x14ac:dyDescent="0.2"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</row>
    <row r="794" spans="38:61" x14ac:dyDescent="0.2"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</row>
    <row r="795" spans="38:61" x14ac:dyDescent="0.2"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</row>
    <row r="796" spans="38:61" x14ac:dyDescent="0.2"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</row>
    <row r="797" spans="38:61" x14ac:dyDescent="0.2"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</row>
    <row r="798" spans="38:61" x14ac:dyDescent="0.2"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</row>
    <row r="799" spans="38:61" x14ac:dyDescent="0.2"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</row>
    <row r="800" spans="38:61" x14ac:dyDescent="0.2"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</row>
    <row r="801" spans="38:61" x14ac:dyDescent="0.2"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</row>
    <row r="802" spans="38:61" x14ac:dyDescent="0.2"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</row>
    <row r="803" spans="38:61" x14ac:dyDescent="0.2"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</row>
    <row r="804" spans="38:61" x14ac:dyDescent="0.2"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</row>
    <row r="805" spans="38:61" x14ac:dyDescent="0.2"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</row>
    <row r="806" spans="38:61" x14ac:dyDescent="0.2"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</row>
    <row r="807" spans="38:61" x14ac:dyDescent="0.2"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</row>
    <row r="808" spans="38:61" x14ac:dyDescent="0.2"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</row>
    <row r="809" spans="38:61" x14ac:dyDescent="0.2"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</row>
    <row r="810" spans="38:61" x14ac:dyDescent="0.2"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</row>
    <row r="811" spans="38:61" x14ac:dyDescent="0.2"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</row>
    <row r="812" spans="38:61" x14ac:dyDescent="0.2"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</row>
    <row r="813" spans="38:61" x14ac:dyDescent="0.2"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</row>
    <row r="814" spans="38:61" x14ac:dyDescent="0.2"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</row>
    <row r="815" spans="38:61" x14ac:dyDescent="0.2"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</row>
    <row r="816" spans="38:61" x14ac:dyDescent="0.2"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</row>
    <row r="817" spans="38:61" x14ac:dyDescent="0.2"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</row>
    <row r="818" spans="38:61" x14ac:dyDescent="0.2"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</row>
    <row r="819" spans="38:61" x14ac:dyDescent="0.2"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</row>
    <row r="820" spans="38:61" x14ac:dyDescent="0.2"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</row>
    <row r="821" spans="38:61" x14ac:dyDescent="0.2"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</row>
    <row r="822" spans="38:61" x14ac:dyDescent="0.2"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</row>
    <row r="823" spans="38:61" x14ac:dyDescent="0.2"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</row>
    <row r="824" spans="38:61" x14ac:dyDescent="0.2"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</row>
    <row r="825" spans="38:61" x14ac:dyDescent="0.2"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</row>
    <row r="826" spans="38:61" x14ac:dyDescent="0.2"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</row>
    <row r="827" spans="38:61" x14ac:dyDescent="0.2"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</row>
    <row r="828" spans="38:61" x14ac:dyDescent="0.2"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</row>
    <row r="829" spans="38:61" x14ac:dyDescent="0.2"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</row>
    <row r="830" spans="38:61" x14ac:dyDescent="0.2"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</row>
    <row r="831" spans="38:61" x14ac:dyDescent="0.2"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</row>
    <row r="832" spans="38:61" x14ac:dyDescent="0.2"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</row>
    <row r="833" spans="38:61" x14ac:dyDescent="0.2"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</row>
    <row r="834" spans="38:61" x14ac:dyDescent="0.2"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</row>
    <row r="835" spans="38:61" x14ac:dyDescent="0.2"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</row>
    <row r="836" spans="38:61" x14ac:dyDescent="0.2"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</row>
    <row r="837" spans="38:61" x14ac:dyDescent="0.2"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</row>
    <row r="838" spans="38:61" x14ac:dyDescent="0.2"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</row>
    <row r="839" spans="38:61" x14ac:dyDescent="0.2"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</row>
    <row r="840" spans="38:61" x14ac:dyDescent="0.2"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</row>
    <row r="841" spans="38:61" x14ac:dyDescent="0.2"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</row>
    <row r="842" spans="38:61" x14ac:dyDescent="0.2"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</row>
    <row r="843" spans="38:61" x14ac:dyDescent="0.2"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</row>
    <row r="844" spans="38:61" x14ac:dyDescent="0.2"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</row>
    <row r="845" spans="38:61" x14ac:dyDescent="0.2"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</row>
    <row r="846" spans="38:61" x14ac:dyDescent="0.2"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</row>
    <row r="847" spans="38:61" x14ac:dyDescent="0.2"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</row>
    <row r="848" spans="38:61" x14ac:dyDescent="0.2"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</row>
    <row r="849" spans="38:61" x14ac:dyDescent="0.2"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</row>
    <row r="850" spans="38:61" x14ac:dyDescent="0.2"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</row>
    <row r="851" spans="38:61" x14ac:dyDescent="0.2"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</row>
    <row r="852" spans="38:61" x14ac:dyDescent="0.2"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</row>
    <row r="853" spans="38:61" x14ac:dyDescent="0.2"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</row>
    <row r="854" spans="38:61" x14ac:dyDescent="0.2"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</row>
    <row r="855" spans="38:61" x14ac:dyDescent="0.2"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</row>
    <row r="856" spans="38:61" x14ac:dyDescent="0.2"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</row>
    <row r="857" spans="38:61" x14ac:dyDescent="0.2"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</row>
    <row r="858" spans="38:61" x14ac:dyDescent="0.2"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</row>
    <row r="859" spans="38:61" x14ac:dyDescent="0.2"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</row>
    <row r="860" spans="38:61" x14ac:dyDescent="0.2"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</row>
    <row r="861" spans="38:61" x14ac:dyDescent="0.2"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</row>
    <row r="862" spans="38:61" x14ac:dyDescent="0.2"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</row>
    <row r="863" spans="38:61" x14ac:dyDescent="0.2"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</row>
    <row r="864" spans="38:61" x14ac:dyDescent="0.2"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</row>
    <row r="865" spans="38:61" x14ac:dyDescent="0.2"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</row>
    <row r="866" spans="38:61" x14ac:dyDescent="0.2"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</row>
    <row r="867" spans="38:61" x14ac:dyDescent="0.2"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</row>
    <row r="868" spans="38:61" x14ac:dyDescent="0.2"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</row>
    <row r="869" spans="38:61" x14ac:dyDescent="0.2"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</row>
    <row r="870" spans="38:61" x14ac:dyDescent="0.2"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</row>
    <row r="871" spans="38:61" x14ac:dyDescent="0.2"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</row>
    <row r="872" spans="38:61" x14ac:dyDescent="0.2"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</row>
    <row r="873" spans="38:61" x14ac:dyDescent="0.2"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</row>
    <row r="874" spans="38:61" x14ac:dyDescent="0.2"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</row>
    <row r="875" spans="38:61" x14ac:dyDescent="0.2"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</row>
    <row r="876" spans="38:61" x14ac:dyDescent="0.2"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</row>
    <row r="877" spans="38:61" x14ac:dyDescent="0.2"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</row>
    <row r="878" spans="38:61" x14ac:dyDescent="0.2"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</row>
    <row r="879" spans="38:61" x14ac:dyDescent="0.2"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</row>
    <row r="880" spans="38:61" x14ac:dyDescent="0.2"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</row>
    <row r="881" spans="38:61" x14ac:dyDescent="0.2"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</row>
    <row r="882" spans="38:61" x14ac:dyDescent="0.2"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</row>
    <row r="883" spans="38:61" x14ac:dyDescent="0.2"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</row>
    <row r="884" spans="38:61" x14ac:dyDescent="0.2"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</row>
    <row r="885" spans="38:61" x14ac:dyDescent="0.2"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</row>
    <row r="886" spans="38:61" x14ac:dyDescent="0.2"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</row>
    <row r="887" spans="38:61" x14ac:dyDescent="0.2"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</row>
    <row r="888" spans="38:61" x14ac:dyDescent="0.2"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</row>
    <row r="889" spans="38:61" x14ac:dyDescent="0.2"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</row>
    <row r="890" spans="38:61" x14ac:dyDescent="0.2"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</row>
    <row r="891" spans="38:61" x14ac:dyDescent="0.2"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</row>
    <row r="892" spans="38:61" x14ac:dyDescent="0.2"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</row>
    <row r="893" spans="38:61" x14ac:dyDescent="0.2"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</row>
    <row r="894" spans="38:61" x14ac:dyDescent="0.2"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</row>
    <row r="895" spans="38:61" x14ac:dyDescent="0.2"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</row>
    <row r="896" spans="38:61" x14ac:dyDescent="0.2"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</row>
    <row r="897" spans="38:61" x14ac:dyDescent="0.2"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</row>
    <row r="898" spans="38:61" x14ac:dyDescent="0.2"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</row>
    <row r="899" spans="38:61" x14ac:dyDescent="0.2"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</row>
    <row r="900" spans="38:61" x14ac:dyDescent="0.2"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</row>
    <row r="901" spans="38:61" x14ac:dyDescent="0.2"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</row>
    <row r="902" spans="38:61" x14ac:dyDescent="0.2"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</row>
    <row r="903" spans="38:61" x14ac:dyDescent="0.2"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</row>
    <row r="904" spans="38:61" x14ac:dyDescent="0.2"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</row>
    <row r="905" spans="38:61" x14ac:dyDescent="0.2"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</row>
    <row r="906" spans="38:61" x14ac:dyDescent="0.2"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</row>
    <row r="907" spans="38:61" x14ac:dyDescent="0.2"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</row>
    <row r="908" spans="38:61" x14ac:dyDescent="0.2"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</row>
    <row r="909" spans="38:61" x14ac:dyDescent="0.2"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</row>
    <row r="910" spans="38:61" x14ac:dyDescent="0.2"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</row>
    <row r="911" spans="38:61" x14ac:dyDescent="0.2"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</row>
    <row r="912" spans="38:61" x14ac:dyDescent="0.2"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</row>
    <row r="913" spans="38:61" x14ac:dyDescent="0.2"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</row>
    <row r="914" spans="38:61" x14ac:dyDescent="0.2"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</row>
    <row r="915" spans="38:61" x14ac:dyDescent="0.2"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</row>
    <row r="916" spans="38:61" x14ac:dyDescent="0.2"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</row>
    <row r="917" spans="38:61" x14ac:dyDescent="0.2"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</row>
    <row r="918" spans="38:61" x14ac:dyDescent="0.2"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</row>
    <row r="919" spans="38:61" x14ac:dyDescent="0.2"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</row>
    <row r="920" spans="38:61" x14ac:dyDescent="0.2"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</row>
    <row r="921" spans="38:61" x14ac:dyDescent="0.2"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</row>
    <row r="922" spans="38:61" x14ac:dyDescent="0.2"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</row>
    <row r="923" spans="38:61" x14ac:dyDescent="0.2"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</row>
    <row r="924" spans="38:61" x14ac:dyDescent="0.2"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</row>
    <row r="925" spans="38:61" x14ac:dyDescent="0.2"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</row>
    <row r="926" spans="38:61" x14ac:dyDescent="0.2"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</row>
    <row r="927" spans="38:61" x14ac:dyDescent="0.2"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</row>
    <row r="928" spans="38:61" x14ac:dyDescent="0.2"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</row>
    <row r="929" spans="38:61" x14ac:dyDescent="0.2"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</row>
    <row r="930" spans="38:61" x14ac:dyDescent="0.2"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</row>
    <row r="931" spans="38:61" x14ac:dyDescent="0.2"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</row>
    <row r="932" spans="38:61" x14ac:dyDescent="0.2"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</row>
    <row r="933" spans="38:61" x14ac:dyDescent="0.2"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</row>
    <row r="934" spans="38:61" x14ac:dyDescent="0.2"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</row>
    <row r="935" spans="38:61" x14ac:dyDescent="0.2"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</row>
    <row r="936" spans="38:61" x14ac:dyDescent="0.2"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</row>
    <row r="937" spans="38:61" x14ac:dyDescent="0.2"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</row>
    <row r="938" spans="38:61" x14ac:dyDescent="0.2"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</row>
    <row r="939" spans="38:61" x14ac:dyDescent="0.2"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</row>
    <row r="940" spans="38:61" x14ac:dyDescent="0.2"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</row>
    <row r="941" spans="38:61" x14ac:dyDescent="0.2"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</row>
    <row r="942" spans="38:61" x14ac:dyDescent="0.2"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</row>
    <row r="943" spans="38:61" x14ac:dyDescent="0.2"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</row>
    <row r="944" spans="38:61" x14ac:dyDescent="0.2"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</row>
    <row r="945" spans="38:61" x14ac:dyDescent="0.2"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</row>
    <row r="946" spans="38:61" x14ac:dyDescent="0.2"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</row>
    <row r="947" spans="38:61" x14ac:dyDescent="0.2"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</row>
    <row r="948" spans="38:61" x14ac:dyDescent="0.2"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</row>
    <row r="949" spans="38:61" x14ac:dyDescent="0.2"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</row>
    <row r="950" spans="38:61" x14ac:dyDescent="0.2"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</row>
    <row r="951" spans="38:61" x14ac:dyDescent="0.2"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</row>
    <row r="952" spans="38:61" x14ac:dyDescent="0.2"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</row>
    <row r="953" spans="38:61" x14ac:dyDescent="0.2"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</row>
    <row r="954" spans="38:61" x14ac:dyDescent="0.2"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</row>
    <row r="955" spans="38:61" x14ac:dyDescent="0.2"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</row>
    <row r="956" spans="38:61" x14ac:dyDescent="0.2"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</row>
    <row r="957" spans="38:61" x14ac:dyDescent="0.2"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</row>
    <row r="958" spans="38:61" x14ac:dyDescent="0.2"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</row>
    <row r="959" spans="38:61" x14ac:dyDescent="0.2"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</row>
    <row r="960" spans="38:61" x14ac:dyDescent="0.2"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</row>
    <row r="961" spans="38:61" x14ac:dyDescent="0.2"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</row>
    <row r="962" spans="38:61" x14ac:dyDescent="0.2"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</row>
    <row r="963" spans="38:61" x14ac:dyDescent="0.2"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</row>
    <row r="964" spans="38:61" x14ac:dyDescent="0.2"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</row>
    <row r="965" spans="38:61" x14ac:dyDescent="0.2"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</row>
    <row r="966" spans="38:61" x14ac:dyDescent="0.2"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</row>
    <row r="967" spans="38:61" x14ac:dyDescent="0.2"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</row>
    <row r="968" spans="38:61" x14ac:dyDescent="0.2"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</row>
    <row r="969" spans="38:61" x14ac:dyDescent="0.2"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</row>
    <row r="970" spans="38:61" x14ac:dyDescent="0.2"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</row>
    <row r="971" spans="38:61" x14ac:dyDescent="0.2"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</row>
    <row r="972" spans="38:61" x14ac:dyDescent="0.2"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</row>
    <row r="973" spans="38:61" x14ac:dyDescent="0.2"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</row>
    <row r="974" spans="38:61" x14ac:dyDescent="0.2"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</row>
    <row r="975" spans="38:61" x14ac:dyDescent="0.2"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</row>
    <row r="976" spans="38:61" x14ac:dyDescent="0.2"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</row>
    <row r="977" spans="38:61" x14ac:dyDescent="0.2"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</row>
    <row r="978" spans="38:61" x14ac:dyDescent="0.2"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</row>
    <row r="979" spans="38:61" x14ac:dyDescent="0.2"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</row>
    <row r="980" spans="38:61" x14ac:dyDescent="0.2"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</row>
    <row r="981" spans="38:61" x14ac:dyDescent="0.2"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</row>
    <row r="982" spans="38:61" x14ac:dyDescent="0.2"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</row>
    <row r="983" spans="38:61" x14ac:dyDescent="0.2"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</row>
    <row r="984" spans="38:61" x14ac:dyDescent="0.2"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</row>
    <row r="985" spans="38:61" x14ac:dyDescent="0.2"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</row>
    <row r="986" spans="38:61" x14ac:dyDescent="0.2"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</row>
    <row r="987" spans="38:61" x14ac:dyDescent="0.2"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</row>
    <row r="988" spans="38:61" x14ac:dyDescent="0.2"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</row>
    <row r="989" spans="38:61" x14ac:dyDescent="0.2"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</row>
    <row r="990" spans="38:61" x14ac:dyDescent="0.2"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</row>
    <row r="991" spans="38:61" x14ac:dyDescent="0.2"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</row>
    <row r="992" spans="38:61" x14ac:dyDescent="0.2"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</row>
    <row r="993" spans="38:61" x14ac:dyDescent="0.2"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</row>
    <row r="994" spans="38:61" x14ac:dyDescent="0.2"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</row>
    <row r="995" spans="38:61" x14ac:dyDescent="0.2"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</row>
    <row r="996" spans="38:61" x14ac:dyDescent="0.2"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</row>
    <row r="997" spans="38:61" x14ac:dyDescent="0.2"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</row>
    <row r="998" spans="38:61" x14ac:dyDescent="0.2"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</row>
    <row r="999" spans="38:61" x14ac:dyDescent="0.2"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</row>
    <row r="1000" spans="38:61" x14ac:dyDescent="0.2"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</row>
    <row r="1001" spans="38:61" x14ac:dyDescent="0.2"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</row>
    <row r="1002" spans="38:61" x14ac:dyDescent="0.2">
      <c r="AL1002" s="31"/>
      <c r="AM1002" s="31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</row>
    <row r="1003" spans="38:61" x14ac:dyDescent="0.2">
      <c r="AL1003" s="31"/>
      <c r="AM1003" s="31"/>
      <c r="AN1003" s="31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</row>
    <row r="1004" spans="38:61" x14ac:dyDescent="0.2">
      <c r="AL1004" s="31"/>
      <c r="AM1004" s="31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</row>
    <row r="1005" spans="38:61" x14ac:dyDescent="0.2">
      <c r="AL1005" s="31"/>
      <c r="AM1005" s="31"/>
      <c r="AN1005" s="31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</row>
    <row r="1006" spans="38:61" x14ac:dyDescent="0.2">
      <c r="AL1006" s="31"/>
      <c r="AM1006" s="31"/>
      <c r="AN1006" s="31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</row>
    <row r="1007" spans="38:61" x14ac:dyDescent="0.2">
      <c r="AL1007" s="31"/>
      <c r="AM1007" s="31"/>
      <c r="AN1007" s="31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</row>
    <row r="1008" spans="38:61" x14ac:dyDescent="0.2">
      <c r="AL1008" s="31"/>
      <c r="AM1008" s="31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</row>
    <row r="1009" spans="38:61" x14ac:dyDescent="0.2">
      <c r="AL1009" s="31"/>
      <c r="AM1009" s="31"/>
      <c r="AN1009" s="31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</row>
    <row r="1010" spans="38:61" x14ac:dyDescent="0.2">
      <c r="AL1010" s="31"/>
      <c r="AM1010" s="31"/>
      <c r="AN1010" s="31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</row>
    <row r="1011" spans="38:61" x14ac:dyDescent="0.2">
      <c r="AL1011" s="31"/>
      <c r="AM1011" s="31"/>
      <c r="AN1011" s="31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</row>
    <row r="1012" spans="38:61" x14ac:dyDescent="0.2">
      <c r="AL1012" s="31"/>
      <c r="AM1012" s="31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</row>
    <row r="1013" spans="38:61" x14ac:dyDescent="0.2"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</row>
    <row r="1014" spans="38:61" x14ac:dyDescent="0.2">
      <c r="AL1014" s="31"/>
      <c r="AM1014" s="31"/>
      <c r="AN1014" s="31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</row>
    <row r="1015" spans="38:61" x14ac:dyDescent="0.2">
      <c r="AL1015" s="31"/>
      <c r="AM1015" s="31"/>
      <c r="AN1015" s="31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</row>
    <row r="1016" spans="38:61" x14ac:dyDescent="0.2">
      <c r="AL1016" s="31"/>
      <c r="AM1016" s="31"/>
      <c r="AN1016" s="31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</row>
    <row r="1017" spans="38:61" x14ac:dyDescent="0.2">
      <c r="AL1017" s="31"/>
      <c r="AM1017" s="31"/>
      <c r="AN1017" s="31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</row>
    <row r="1018" spans="38:61" x14ac:dyDescent="0.2">
      <c r="AL1018" s="31"/>
      <c r="AM1018" s="31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</row>
    <row r="1019" spans="38:61" x14ac:dyDescent="0.2">
      <c r="AL1019" s="31"/>
      <c r="AM1019" s="31"/>
      <c r="AN1019" s="31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</row>
    <row r="1020" spans="38:61" x14ac:dyDescent="0.2">
      <c r="AL1020" s="31"/>
      <c r="AM1020" s="31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</row>
    <row r="1021" spans="38:61" x14ac:dyDescent="0.2">
      <c r="AL1021" s="31"/>
      <c r="AM1021" s="31"/>
      <c r="AN1021" s="31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</row>
    <row r="1022" spans="38:61" x14ac:dyDescent="0.2">
      <c r="AL1022" s="31"/>
      <c r="AM1022" s="31"/>
      <c r="AN1022" s="31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</row>
    <row r="1023" spans="38:61" x14ac:dyDescent="0.2">
      <c r="AL1023" s="31"/>
      <c r="AM1023" s="31"/>
      <c r="AN1023" s="31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</row>
    <row r="1024" spans="38:61" x14ac:dyDescent="0.2">
      <c r="AL1024" s="31"/>
      <c r="AM1024" s="31"/>
      <c r="AN1024" s="31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</row>
    <row r="1025" spans="38:61" x14ac:dyDescent="0.2">
      <c r="AL1025" s="31"/>
      <c r="AM1025" s="31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</row>
    <row r="1026" spans="38:61" x14ac:dyDescent="0.2">
      <c r="AL1026" s="31"/>
      <c r="AM1026" s="31"/>
      <c r="AN1026" s="31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</row>
    <row r="1027" spans="38:61" x14ac:dyDescent="0.2">
      <c r="AL1027" s="31"/>
      <c r="AM1027" s="31"/>
      <c r="AN1027" s="31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</row>
    <row r="1028" spans="38:61" x14ac:dyDescent="0.2">
      <c r="AL1028" s="31"/>
      <c r="AM1028" s="31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</row>
    <row r="1029" spans="38:61" x14ac:dyDescent="0.2">
      <c r="AL1029" s="31"/>
      <c r="AM1029" s="31"/>
      <c r="AN1029" s="31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</row>
    <row r="1030" spans="38:61" x14ac:dyDescent="0.2"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</row>
    <row r="1031" spans="38:61" x14ac:dyDescent="0.2">
      <c r="AL1031" s="31"/>
      <c r="AM1031" s="31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</row>
    <row r="1032" spans="38:61" x14ac:dyDescent="0.2">
      <c r="AL1032" s="31"/>
      <c r="AM1032" s="31"/>
      <c r="AN1032" s="31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</row>
    <row r="1033" spans="38:61" x14ac:dyDescent="0.2">
      <c r="AL1033" s="31"/>
      <c r="AM1033" s="31"/>
      <c r="AN1033" s="31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</row>
    <row r="1034" spans="38:61" x14ac:dyDescent="0.2"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</row>
    <row r="1035" spans="38:61" x14ac:dyDescent="0.2">
      <c r="AL1035" s="31"/>
      <c r="AM1035" s="31"/>
      <c r="AN1035" s="31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</row>
    <row r="1036" spans="38:61" x14ac:dyDescent="0.2">
      <c r="AL1036" s="31"/>
      <c r="AM1036" s="31"/>
      <c r="AN1036" s="31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</row>
    <row r="1037" spans="38:61" x14ac:dyDescent="0.2">
      <c r="AL1037" s="31"/>
      <c r="AM1037" s="31"/>
      <c r="AN1037" s="31"/>
      <c r="AO1037" s="31"/>
      <c r="AP1037" s="31"/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</row>
    <row r="1038" spans="38:61" x14ac:dyDescent="0.2">
      <c r="AL1038" s="31"/>
      <c r="AM1038" s="31"/>
      <c r="AN1038" s="31"/>
      <c r="AO1038" s="31"/>
      <c r="AP1038" s="31"/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</row>
    <row r="1039" spans="38:61" x14ac:dyDescent="0.2">
      <c r="AL1039" s="31"/>
      <c r="AM1039" s="31"/>
      <c r="AN1039" s="31"/>
      <c r="AO1039" s="31"/>
      <c r="AP1039" s="31"/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</row>
    <row r="1040" spans="38:61" x14ac:dyDescent="0.2">
      <c r="AL1040" s="31"/>
      <c r="AM1040" s="31"/>
      <c r="AN1040" s="31"/>
      <c r="AO1040" s="31"/>
      <c r="AP1040" s="31"/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</row>
    <row r="1041" spans="38:61" x14ac:dyDescent="0.2">
      <c r="AL1041" s="31"/>
      <c r="AM1041" s="31"/>
      <c r="AN1041" s="31"/>
      <c r="AO1041" s="31"/>
      <c r="AP1041" s="31"/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</row>
    <row r="1042" spans="38:61" x14ac:dyDescent="0.2">
      <c r="AL1042" s="31"/>
      <c r="AM1042" s="31"/>
      <c r="AN1042" s="31"/>
      <c r="AO1042" s="31"/>
      <c r="AP1042" s="31"/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</row>
    <row r="1043" spans="38:61" x14ac:dyDescent="0.2">
      <c r="AL1043" s="31"/>
      <c r="AM1043" s="31"/>
      <c r="AN1043" s="31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</row>
    <row r="1044" spans="38:61" x14ac:dyDescent="0.2">
      <c r="AL1044" s="31"/>
      <c r="AM1044" s="31"/>
      <c r="AN1044" s="31"/>
      <c r="AO1044" s="31"/>
      <c r="AP1044" s="31"/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</row>
    <row r="1045" spans="38:61" x14ac:dyDescent="0.2">
      <c r="AL1045" s="31"/>
      <c r="AM1045" s="31"/>
      <c r="AN1045" s="31"/>
      <c r="AO1045" s="31"/>
      <c r="AP1045" s="31"/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</row>
    <row r="1046" spans="38:61" x14ac:dyDescent="0.2">
      <c r="AL1046" s="31"/>
      <c r="AM1046" s="31"/>
      <c r="AN1046" s="31"/>
      <c r="AO1046" s="31"/>
      <c r="AP1046" s="31"/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</row>
    <row r="1047" spans="38:61" x14ac:dyDescent="0.2">
      <c r="AL1047" s="31"/>
      <c r="AM1047" s="31"/>
      <c r="AN1047" s="31"/>
      <c r="AO1047" s="31"/>
      <c r="AP1047" s="31"/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</row>
    <row r="1048" spans="38:61" x14ac:dyDescent="0.2">
      <c r="AL1048" s="31"/>
      <c r="AM1048" s="31"/>
      <c r="AN1048" s="31"/>
      <c r="AO1048" s="31"/>
      <c r="AP1048" s="31"/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</row>
    <row r="1049" spans="38:61" x14ac:dyDescent="0.2">
      <c r="AL1049" s="31"/>
      <c r="AM1049" s="31"/>
      <c r="AN1049" s="31"/>
      <c r="AO1049" s="31"/>
      <c r="AP1049" s="31"/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</row>
    <row r="1050" spans="38:61" x14ac:dyDescent="0.2">
      <c r="AL1050" s="31"/>
      <c r="AM1050" s="31"/>
      <c r="AN1050" s="31"/>
      <c r="AO1050" s="31"/>
      <c r="AP1050" s="31"/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</row>
    <row r="1051" spans="38:61" x14ac:dyDescent="0.2">
      <c r="AL1051" s="31"/>
      <c r="AM1051" s="31"/>
      <c r="AN1051" s="31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</row>
    <row r="1052" spans="38:61" x14ac:dyDescent="0.2">
      <c r="AL1052" s="31"/>
      <c r="AM1052" s="31"/>
      <c r="AN1052" s="31"/>
      <c r="AO1052" s="31"/>
      <c r="AP1052" s="31"/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</row>
    <row r="1053" spans="38:61" x14ac:dyDescent="0.2">
      <c r="AL1053" s="31"/>
      <c r="AM1053" s="31"/>
      <c r="AN1053" s="31"/>
      <c r="AO1053" s="31"/>
      <c r="AP1053" s="31"/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</row>
    <row r="1054" spans="38:61" x14ac:dyDescent="0.2">
      <c r="AL1054" s="31"/>
      <c r="AM1054" s="31"/>
      <c r="AN1054" s="31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</row>
    <row r="1055" spans="38:61" x14ac:dyDescent="0.2">
      <c r="AL1055" s="31"/>
      <c r="AM1055" s="31"/>
      <c r="AN1055" s="31"/>
      <c r="AO1055" s="31"/>
      <c r="AP1055" s="31"/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</row>
    <row r="1056" spans="38:61" x14ac:dyDescent="0.2">
      <c r="AL1056" s="31"/>
      <c r="AM1056" s="31"/>
      <c r="AN1056" s="31"/>
      <c r="AO1056" s="31"/>
      <c r="AP1056" s="31"/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</row>
    <row r="1057" spans="38:61" x14ac:dyDescent="0.2">
      <c r="AL1057" s="31"/>
      <c r="AM1057" s="31"/>
      <c r="AN1057" s="31"/>
      <c r="AO1057" s="31"/>
      <c r="AP1057" s="31"/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</row>
    <row r="1058" spans="38:61" x14ac:dyDescent="0.2">
      <c r="AL1058" s="31"/>
      <c r="AM1058" s="31"/>
      <c r="AN1058" s="31"/>
      <c r="AO1058" s="31"/>
      <c r="AP1058" s="31"/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</row>
    <row r="1059" spans="38:61" x14ac:dyDescent="0.2">
      <c r="AL1059" s="31"/>
      <c r="AM1059" s="31"/>
      <c r="AN1059" s="31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</row>
    <row r="1060" spans="38:61" x14ac:dyDescent="0.2">
      <c r="AL1060" s="31"/>
      <c r="AM1060" s="31"/>
      <c r="AN1060" s="31"/>
      <c r="AO1060" s="31"/>
      <c r="AP1060" s="31"/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</row>
    <row r="1061" spans="38:61" x14ac:dyDescent="0.2">
      <c r="AL1061" s="31"/>
      <c r="AM1061" s="31"/>
      <c r="AN1061" s="31"/>
      <c r="AO1061" s="31"/>
      <c r="AP1061" s="31"/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</row>
    <row r="1062" spans="38:61" x14ac:dyDescent="0.2">
      <c r="AL1062" s="31"/>
      <c r="AM1062" s="31"/>
      <c r="AN1062" s="31"/>
      <c r="AO1062" s="31"/>
      <c r="AP1062" s="31"/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</row>
    <row r="1063" spans="38:61" x14ac:dyDescent="0.2">
      <c r="AL1063" s="31"/>
      <c r="AM1063" s="31"/>
      <c r="AN1063" s="31"/>
      <c r="AO1063" s="31"/>
      <c r="AP1063" s="31"/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</row>
    <row r="1064" spans="38:61" x14ac:dyDescent="0.2">
      <c r="AL1064" s="31"/>
      <c r="AM1064" s="31"/>
      <c r="AN1064" s="31"/>
      <c r="AO1064" s="31"/>
      <c r="AP1064" s="31"/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</row>
    <row r="1065" spans="38:61" x14ac:dyDescent="0.2">
      <c r="AL1065" s="31"/>
      <c r="AM1065" s="31"/>
      <c r="AN1065" s="31"/>
      <c r="AO1065" s="31"/>
      <c r="AP1065" s="31"/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</row>
    <row r="1066" spans="38:61" x14ac:dyDescent="0.2">
      <c r="AL1066" s="31"/>
      <c r="AM1066" s="31"/>
      <c r="AN1066" s="31"/>
      <c r="AO1066" s="31"/>
      <c r="AP1066" s="31"/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</row>
    <row r="1067" spans="38:61" x14ac:dyDescent="0.2">
      <c r="AL1067" s="31"/>
      <c r="AM1067" s="31"/>
      <c r="AN1067" s="31"/>
      <c r="AO1067" s="31"/>
      <c r="AP1067" s="31"/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</row>
    <row r="1068" spans="38:61" x14ac:dyDescent="0.2">
      <c r="AL1068" s="31"/>
      <c r="AM1068" s="31"/>
      <c r="AN1068" s="31"/>
      <c r="AO1068" s="31"/>
      <c r="AP1068" s="31"/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</row>
    <row r="1069" spans="38:61" x14ac:dyDescent="0.2">
      <c r="AL1069" s="31"/>
      <c r="AM1069" s="31"/>
      <c r="AN1069" s="31"/>
      <c r="AO1069" s="31"/>
      <c r="AP1069" s="31"/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</row>
    <row r="1070" spans="38:61" x14ac:dyDescent="0.2">
      <c r="AL1070" s="31"/>
      <c r="AM1070" s="31"/>
      <c r="AN1070" s="31"/>
      <c r="AO1070" s="31"/>
      <c r="AP1070" s="31"/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</row>
    <row r="1071" spans="38:61" x14ac:dyDescent="0.2">
      <c r="AL1071" s="31"/>
      <c r="AM1071" s="31"/>
      <c r="AN1071" s="31"/>
      <c r="AO1071" s="31"/>
      <c r="AP1071" s="31"/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</row>
    <row r="1072" spans="38:61" x14ac:dyDescent="0.2">
      <c r="AL1072" s="31"/>
      <c r="AM1072" s="31"/>
      <c r="AN1072" s="31"/>
      <c r="AO1072" s="31"/>
      <c r="AP1072" s="31"/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</row>
    <row r="1073" spans="38:61" x14ac:dyDescent="0.2">
      <c r="AL1073" s="31"/>
      <c r="AM1073" s="31"/>
      <c r="AN1073" s="31"/>
      <c r="AO1073" s="31"/>
      <c r="AP1073" s="31"/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</row>
    <row r="1074" spans="38:61" x14ac:dyDescent="0.2">
      <c r="AL1074" s="31"/>
      <c r="AM1074" s="31"/>
      <c r="AN1074" s="31"/>
      <c r="AO1074" s="31"/>
      <c r="AP1074" s="31"/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</row>
    <row r="1075" spans="38:61" x14ac:dyDescent="0.2">
      <c r="AL1075" s="31"/>
      <c r="AM1075" s="31"/>
      <c r="AN1075" s="31"/>
      <c r="AO1075" s="31"/>
      <c r="AP1075" s="31"/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</row>
    <row r="1076" spans="38:61" x14ac:dyDescent="0.2">
      <c r="AL1076" s="31"/>
      <c r="AM1076" s="31"/>
      <c r="AN1076" s="31"/>
      <c r="AO1076" s="31"/>
      <c r="AP1076" s="31"/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</row>
    <row r="1077" spans="38:61" x14ac:dyDescent="0.2">
      <c r="AL1077" s="31"/>
      <c r="AM1077" s="31"/>
      <c r="AN1077" s="31"/>
      <c r="AO1077" s="31"/>
      <c r="AP1077" s="31"/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</row>
    <row r="1078" spans="38:61" x14ac:dyDescent="0.2">
      <c r="AL1078" s="31"/>
      <c r="AM1078" s="31"/>
      <c r="AN1078" s="31"/>
      <c r="AO1078" s="31"/>
      <c r="AP1078" s="31"/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</row>
    <row r="1079" spans="38:61" x14ac:dyDescent="0.2">
      <c r="AL1079" s="31"/>
      <c r="AM1079" s="31"/>
      <c r="AN1079" s="31"/>
      <c r="AO1079" s="31"/>
      <c r="AP1079" s="31"/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</row>
    <row r="1080" spans="38:61" x14ac:dyDescent="0.2">
      <c r="AL1080" s="31"/>
      <c r="AM1080" s="31"/>
      <c r="AN1080" s="31"/>
      <c r="AO1080" s="31"/>
      <c r="AP1080" s="31"/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</row>
    <row r="1081" spans="38:61" x14ac:dyDescent="0.2">
      <c r="AL1081" s="31"/>
      <c r="AM1081" s="31"/>
      <c r="AN1081" s="31"/>
      <c r="AO1081" s="31"/>
      <c r="AP1081" s="31"/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</row>
    <row r="1082" spans="38:61" x14ac:dyDescent="0.2">
      <c r="AL1082" s="31"/>
      <c r="AM1082" s="31"/>
      <c r="AN1082" s="31"/>
      <c r="AO1082" s="31"/>
      <c r="AP1082" s="31"/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</row>
    <row r="1083" spans="38:61" x14ac:dyDescent="0.2">
      <c r="AL1083" s="31"/>
      <c r="AM1083" s="31"/>
      <c r="AN1083" s="31"/>
      <c r="AO1083" s="31"/>
      <c r="AP1083" s="31"/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</row>
    <row r="1084" spans="38:61" x14ac:dyDescent="0.2">
      <c r="AL1084" s="31"/>
      <c r="AM1084" s="31"/>
      <c r="AN1084" s="31"/>
      <c r="AO1084" s="31"/>
      <c r="AP1084" s="31"/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</row>
    <row r="1085" spans="38:61" x14ac:dyDescent="0.2">
      <c r="AL1085" s="31"/>
      <c r="AM1085" s="31"/>
      <c r="AN1085" s="31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</row>
    <row r="1086" spans="38:61" x14ac:dyDescent="0.2">
      <c r="AL1086" s="31"/>
      <c r="AM1086" s="31"/>
      <c r="AN1086" s="31"/>
      <c r="AO1086" s="31"/>
      <c r="AP1086" s="31"/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</row>
    <row r="1087" spans="38:61" x14ac:dyDescent="0.2">
      <c r="AL1087" s="31"/>
      <c r="AM1087" s="31"/>
      <c r="AN1087" s="31"/>
      <c r="AO1087" s="31"/>
      <c r="AP1087" s="31"/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</row>
    <row r="1088" spans="38:61" x14ac:dyDescent="0.2">
      <c r="AL1088" s="31"/>
      <c r="AM1088" s="31"/>
      <c r="AN1088" s="31"/>
      <c r="AO1088" s="31"/>
      <c r="AP1088" s="31"/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</row>
    <row r="1089" spans="38:61" x14ac:dyDescent="0.2">
      <c r="AL1089" s="31"/>
      <c r="AM1089" s="31"/>
      <c r="AN1089" s="31"/>
      <c r="AO1089" s="31"/>
      <c r="AP1089" s="31"/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</row>
    <row r="1090" spans="38:61" x14ac:dyDescent="0.2">
      <c r="AL1090" s="31"/>
      <c r="AM1090" s="31"/>
      <c r="AN1090" s="31"/>
      <c r="AO1090" s="31"/>
      <c r="AP1090" s="31"/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</row>
    <row r="1091" spans="38:61" x14ac:dyDescent="0.2">
      <c r="AL1091" s="31"/>
      <c r="AM1091" s="31"/>
      <c r="AN1091" s="31"/>
      <c r="AO1091" s="31"/>
      <c r="AP1091" s="31"/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</row>
    <row r="1092" spans="38:61" x14ac:dyDescent="0.2">
      <c r="AL1092" s="31"/>
      <c r="AM1092" s="31"/>
      <c r="AN1092" s="31"/>
      <c r="AO1092" s="31"/>
      <c r="AP1092" s="31"/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</row>
    <row r="1093" spans="38:61" x14ac:dyDescent="0.2">
      <c r="AL1093" s="31"/>
      <c r="AM1093" s="31"/>
      <c r="AN1093" s="31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</row>
    <row r="1094" spans="38:61" x14ac:dyDescent="0.2">
      <c r="AL1094" s="31"/>
      <c r="AM1094" s="31"/>
      <c r="AN1094" s="31"/>
      <c r="AO1094" s="31"/>
      <c r="AP1094" s="31"/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</row>
    <row r="1095" spans="38:61" x14ac:dyDescent="0.2">
      <c r="AL1095" s="31"/>
      <c r="AM1095" s="31"/>
      <c r="AN1095" s="31"/>
      <c r="AO1095" s="31"/>
      <c r="AP1095" s="31"/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</row>
    <row r="1096" spans="38:61" x14ac:dyDescent="0.2">
      <c r="AL1096" s="31"/>
      <c r="AM1096" s="31"/>
      <c r="AN1096" s="31"/>
      <c r="AO1096" s="31"/>
      <c r="AP1096" s="31"/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</row>
    <row r="1097" spans="38:61" x14ac:dyDescent="0.2">
      <c r="AL1097" s="31"/>
      <c r="AM1097" s="31"/>
      <c r="AN1097" s="31"/>
      <c r="AO1097" s="31"/>
      <c r="AP1097" s="31"/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</row>
    <row r="1098" spans="38:61" x14ac:dyDescent="0.2">
      <c r="AL1098" s="31"/>
      <c r="AM1098" s="31"/>
      <c r="AN1098" s="31"/>
      <c r="AO1098" s="31"/>
      <c r="AP1098" s="31"/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</row>
    <row r="1099" spans="38:61" x14ac:dyDescent="0.2">
      <c r="AL1099" s="31"/>
      <c r="AM1099" s="31"/>
      <c r="AN1099" s="31"/>
      <c r="AO1099" s="31"/>
      <c r="AP1099" s="31"/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</row>
    <row r="1100" spans="38:61" x14ac:dyDescent="0.2">
      <c r="AL1100" s="31"/>
      <c r="AM1100" s="31"/>
      <c r="AN1100" s="31"/>
      <c r="AO1100" s="31"/>
      <c r="AP1100" s="31"/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</row>
    <row r="1101" spans="38:61" x14ac:dyDescent="0.2">
      <c r="AL1101" s="31"/>
      <c r="AM1101" s="31"/>
      <c r="AN1101" s="31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</row>
    <row r="1102" spans="38:61" x14ac:dyDescent="0.2">
      <c r="AL1102" s="31"/>
      <c r="AM1102" s="31"/>
      <c r="AN1102" s="31"/>
      <c r="AO1102" s="31"/>
      <c r="AP1102" s="31"/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</row>
    <row r="1103" spans="38:61" x14ac:dyDescent="0.2">
      <c r="AL1103" s="31"/>
      <c r="AM1103" s="31"/>
      <c r="AN1103" s="31"/>
      <c r="AO1103" s="31"/>
      <c r="AP1103" s="31"/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</row>
    <row r="1104" spans="38:61" x14ac:dyDescent="0.2">
      <c r="AL1104" s="31"/>
      <c r="AM1104" s="31"/>
      <c r="AN1104" s="31"/>
      <c r="AO1104" s="31"/>
      <c r="AP1104" s="31"/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</row>
    <row r="1105" spans="38:61" x14ac:dyDescent="0.2">
      <c r="AL1105" s="31"/>
      <c r="AM1105" s="31"/>
      <c r="AN1105" s="31"/>
      <c r="AO1105" s="31"/>
      <c r="AP1105" s="31"/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</row>
    <row r="1106" spans="38:61" x14ac:dyDescent="0.2">
      <c r="AL1106" s="31"/>
      <c r="AM1106" s="31"/>
      <c r="AN1106" s="31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</row>
    <row r="1107" spans="38:61" x14ac:dyDescent="0.2">
      <c r="AL1107" s="31"/>
      <c r="AM1107" s="31"/>
      <c r="AN1107" s="31"/>
      <c r="AO1107" s="31"/>
      <c r="AP1107" s="31"/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</row>
    <row r="1108" spans="38:61" x14ac:dyDescent="0.2">
      <c r="AL1108" s="31"/>
      <c r="AM1108" s="31"/>
      <c r="AN1108" s="31"/>
      <c r="AO1108" s="31"/>
      <c r="AP1108" s="31"/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</row>
    <row r="1109" spans="38:61" x14ac:dyDescent="0.2">
      <c r="AL1109" s="31"/>
      <c r="AM1109" s="31"/>
      <c r="AN1109" s="31"/>
      <c r="AO1109" s="31"/>
      <c r="AP1109" s="31"/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</row>
    <row r="1110" spans="38:61" x14ac:dyDescent="0.2">
      <c r="AL1110" s="31"/>
      <c r="AM1110" s="31"/>
      <c r="AN1110" s="31"/>
      <c r="AO1110" s="31"/>
      <c r="AP1110" s="31"/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</row>
    <row r="1111" spans="38:61" x14ac:dyDescent="0.2">
      <c r="AL1111" s="31"/>
      <c r="AM1111" s="31"/>
      <c r="AN1111" s="31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</row>
    <row r="1112" spans="38:61" x14ac:dyDescent="0.2">
      <c r="AL1112" s="31"/>
      <c r="AM1112" s="31"/>
      <c r="AN1112" s="31"/>
      <c r="AO1112" s="31"/>
      <c r="AP1112" s="31"/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</row>
    <row r="1113" spans="38:61" x14ac:dyDescent="0.2">
      <c r="AL1113" s="31"/>
      <c r="AM1113" s="31"/>
      <c r="AN1113" s="31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</row>
    <row r="1114" spans="38:61" x14ac:dyDescent="0.2"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</row>
    <row r="1115" spans="38:61" x14ac:dyDescent="0.2">
      <c r="AL1115" s="31"/>
      <c r="AM1115" s="31"/>
      <c r="AN1115" s="31"/>
      <c r="AO1115" s="31"/>
      <c r="AP1115" s="31"/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</row>
    <row r="1116" spans="38:61" x14ac:dyDescent="0.2">
      <c r="AL1116" s="31"/>
      <c r="AM1116" s="31"/>
      <c r="AN1116" s="31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</row>
    <row r="1117" spans="38:61" x14ac:dyDescent="0.2">
      <c r="AL1117" s="31"/>
      <c r="AM1117" s="31"/>
      <c r="AN1117" s="31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</row>
    <row r="1118" spans="38:61" x14ac:dyDescent="0.2">
      <c r="AL1118" s="31"/>
      <c r="AM1118" s="31"/>
      <c r="AN1118" s="31"/>
      <c r="AO1118" s="31"/>
      <c r="AP1118" s="31"/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</row>
    <row r="1119" spans="38:61" x14ac:dyDescent="0.2">
      <c r="AL1119" s="31"/>
      <c r="AM1119" s="31"/>
      <c r="AN1119" s="31"/>
      <c r="AO1119" s="31"/>
      <c r="AP1119" s="31"/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</row>
    <row r="1120" spans="38:61" x14ac:dyDescent="0.2">
      <c r="AL1120" s="31"/>
      <c r="AM1120" s="31"/>
      <c r="AN1120" s="31"/>
      <c r="AO1120" s="31"/>
      <c r="AP1120" s="31"/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</row>
    <row r="1121" spans="38:61" x14ac:dyDescent="0.2">
      <c r="AL1121" s="31"/>
      <c r="AM1121" s="31"/>
      <c r="AN1121" s="31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</row>
    <row r="1122" spans="38:61" x14ac:dyDescent="0.2">
      <c r="AL1122" s="31"/>
      <c r="AM1122" s="31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</row>
    <row r="1123" spans="38:61" x14ac:dyDescent="0.2">
      <c r="AL1123" s="31"/>
      <c r="AM1123" s="31"/>
      <c r="AN1123" s="31"/>
      <c r="AO1123" s="31"/>
      <c r="AP1123" s="31"/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</row>
    <row r="1124" spans="38:61" x14ac:dyDescent="0.2">
      <c r="AL1124" s="31"/>
      <c r="AM1124" s="31"/>
      <c r="AN1124" s="31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</row>
    <row r="1125" spans="38:61" x14ac:dyDescent="0.2">
      <c r="AL1125" s="31"/>
      <c r="AM1125" s="31"/>
      <c r="AN1125" s="31"/>
      <c r="AO1125" s="31"/>
      <c r="AP1125" s="31"/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</row>
    <row r="1126" spans="38:61" x14ac:dyDescent="0.2">
      <c r="AL1126" s="31"/>
      <c r="AM1126" s="31"/>
      <c r="AN1126" s="31"/>
      <c r="AO1126" s="31"/>
      <c r="AP1126" s="31"/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</row>
    <row r="1127" spans="38:61" x14ac:dyDescent="0.2">
      <c r="AL1127" s="31"/>
      <c r="AM1127" s="31"/>
      <c r="AN1127" s="31"/>
      <c r="AO1127" s="31"/>
      <c r="AP1127" s="31"/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</row>
    <row r="1128" spans="38:61" x14ac:dyDescent="0.2">
      <c r="AL1128" s="31"/>
      <c r="AM1128" s="31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</row>
    <row r="1129" spans="38:61" x14ac:dyDescent="0.2">
      <c r="AL1129" s="31"/>
      <c r="AM1129" s="31"/>
      <c r="AN1129" s="31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</row>
    <row r="1130" spans="38:61" x14ac:dyDescent="0.2">
      <c r="AL1130" s="31"/>
      <c r="AM1130" s="31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</row>
    <row r="1131" spans="38:61" x14ac:dyDescent="0.2">
      <c r="AL1131" s="31"/>
      <c r="AM1131" s="31"/>
      <c r="AN1131" s="31"/>
      <c r="AO1131" s="31"/>
      <c r="AP1131" s="31"/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</row>
    <row r="1132" spans="38:61" x14ac:dyDescent="0.2">
      <c r="AL1132" s="31"/>
      <c r="AM1132" s="31"/>
      <c r="AN1132" s="31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</row>
    <row r="1133" spans="38:61" x14ac:dyDescent="0.2">
      <c r="AL1133" s="31"/>
      <c r="AM1133" s="31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</row>
    <row r="1134" spans="38:61" x14ac:dyDescent="0.2">
      <c r="AL1134" s="31"/>
      <c r="AM1134" s="31"/>
      <c r="AN1134" s="31"/>
      <c r="AO1134" s="31"/>
      <c r="AP1134" s="31"/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</row>
    <row r="1135" spans="38:61" x14ac:dyDescent="0.2">
      <c r="AL1135" s="31"/>
      <c r="AM1135" s="31"/>
      <c r="AN1135" s="31"/>
      <c r="AO1135" s="31"/>
      <c r="AP1135" s="31"/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</row>
    <row r="1136" spans="38:61" x14ac:dyDescent="0.2">
      <c r="AL1136" s="31"/>
      <c r="AM1136" s="31"/>
      <c r="AN1136" s="31"/>
      <c r="AO1136" s="31"/>
      <c r="AP1136" s="31"/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</row>
    <row r="1137" spans="38:61" x14ac:dyDescent="0.2">
      <c r="AL1137" s="31"/>
      <c r="AM1137" s="31"/>
      <c r="AN1137" s="31"/>
      <c r="AO1137" s="31"/>
      <c r="AP1137" s="31"/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</row>
    <row r="1138" spans="38:61" x14ac:dyDescent="0.2">
      <c r="AL1138" s="31"/>
      <c r="AM1138" s="31"/>
      <c r="AN1138" s="31"/>
      <c r="AO1138" s="31"/>
      <c r="AP1138" s="31"/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</row>
    <row r="1139" spans="38:61" x14ac:dyDescent="0.2">
      <c r="AL1139" s="31"/>
      <c r="AM1139" s="31"/>
      <c r="AN1139" s="31"/>
      <c r="AO1139" s="31"/>
      <c r="AP1139" s="31"/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</row>
    <row r="1140" spans="38:61" x14ac:dyDescent="0.2">
      <c r="AL1140" s="31"/>
      <c r="AM1140" s="31"/>
      <c r="AN1140" s="31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</row>
    <row r="1141" spans="38:61" x14ac:dyDescent="0.2">
      <c r="AL1141" s="31"/>
      <c r="AM1141" s="31"/>
      <c r="AN1141" s="31"/>
      <c r="AO1141" s="31"/>
      <c r="AP1141" s="31"/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</row>
    <row r="1142" spans="38:61" x14ac:dyDescent="0.2">
      <c r="AL1142" s="31"/>
      <c r="AM1142" s="31"/>
      <c r="AN1142" s="31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</row>
    <row r="1143" spans="38:61" x14ac:dyDescent="0.2">
      <c r="AL1143" s="31"/>
      <c r="AM1143" s="31"/>
      <c r="AN1143" s="31"/>
      <c r="AO1143" s="31"/>
      <c r="AP1143" s="31"/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</row>
    <row r="1144" spans="38:61" x14ac:dyDescent="0.2">
      <c r="AL1144" s="31"/>
      <c r="AM1144" s="31"/>
      <c r="AN1144" s="31"/>
      <c r="AO1144" s="31"/>
      <c r="AP1144" s="31"/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</row>
    <row r="1145" spans="38:61" x14ac:dyDescent="0.2">
      <c r="AL1145" s="31"/>
      <c r="AM1145" s="31"/>
      <c r="AN1145" s="31"/>
      <c r="AO1145" s="31"/>
      <c r="AP1145" s="31"/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</row>
    <row r="1146" spans="38:61" x14ac:dyDescent="0.2">
      <c r="AL1146" s="31"/>
      <c r="AM1146" s="31"/>
      <c r="AN1146" s="31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</row>
    <row r="1147" spans="38:61" x14ac:dyDescent="0.2">
      <c r="AL1147" s="31"/>
      <c r="AM1147" s="31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</row>
    <row r="1148" spans="38:61" x14ac:dyDescent="0.2">
      <c r="AL1148" s="31"/>
      <c r="AM1148" s="31"/>
      <c r="AN1148" s="31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</row>
    <row r="1149" spans="38:61" x14ac:dyDescent="0.2">
      <c r="AL1149" s="31"/>
      <c r="AM1149" s="31"/>
      <c r="AN1149" s="31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</row>
    <row r="1150" spans="38:61" x14ac:dyDescent="0.2">
      <c r="AL1150" s="31"/>
      <c r="AM1150" s="31"/>
      <c r="AN1150" s="31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</row>
    <row r="1151" spans="38:61" x14ac:dyDescent="0.2">
      <c r="AL1151" s="31"/>
      <c r="AM1151" s="31"/>
      <c r="AN1151" s="31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</row>
    <row r="1152" spans="38:61" x14ac:dyDescent="0.2">
      <c r="AL1152" s="31"/>
      <c r="AM1152" s="31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</row>
    <row r="1153" spans="38:61" x14ac:dyDescent="0.2">
      <c r="AL1153" s="31"/>
      <c r="AM1153" s="31"/>
      <c r="AN1153" s="31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</row>
    <row r="1154" spans="38:61" x14ac:dyDescent="0.2">
      <c r="AL1154" s="31"/>
      <c r="AM1154" s="31"/>
      <c r="AN1154" s="31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</row>
    <row r="1155" spans="38:61" x14ac:dyDescent="0.2">
      <c r="AL1155" s="31"/>
      <c r="AM1155" s="31"/>
      <c r="AN1155" s="31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</row>
    <row r="1156" spans="38:61" x14ac:dyDescent="0.2">
      <c r="AL1156" s="31"/>
      <c r="AM1156" s="31"/>
      <c r="AN1156" s="31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</row>
    <row r="1157" spans="38:61" x14ac:dyDescent="0.2">
      <c r="AL1157" s="31"/>
      <c r="AM1157" s="31"/>
      <c r="AN1157" s="31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</row>
    <row r="1158" spans="38:61" x14ac:dyDescent="0.2">
      <c r="AL1158" s="31"/>
      <c r="AM1158" s="31"/>
      <c r="AN1158" s="31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</row>
    <row r="1159" spans="38:61" x14ac:dyDescent="0.2">
      <c r="AL1159" s="31"/>
      <c r="AM1159" s="31"/>
      <c r="AN1159" s="31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</row>
    <row r="1160" spans="38:61" x14ac:dyDescent="0.2">
      <c r="AL1160" s="31"/>
      <c r="AM1160" s="31"/>
      <c r="AN1160" s="31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</row>
    <row r="1161" spans="38:61" x14ac:dyDescent="0.2">
      <c r="AL1161" s="31"/>
      <c r="AM1161" s="31"/>
      <c r="AN1161" s="31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</row>
    <row r="1162" spans="38:61" x14ac:dyDescent="0.2">
      <c r="AL1162" s="31"/>
      <c r="AM1162" s="31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</row>
    <row r="1163" spans="38:61" x14ac:dyDescent="0.2">
      <c r="AL1163" s="31"/>
      <c r="AM1163" s="31"/>
      <c r="AN1163" s="31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</row>
    <row r="1164" spans="38:61" x14ac:dyDescent="0.2">
      <c r="AL1164" s="31"/>
      <c r="AM1164" s="31"/>
      <c r="AN1164" s="31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</row>
    <row r="1165" spans="38:61" x14ac:dyDescent="0.2">
      <c r="AL1165" s="31"/>
      <c r="AM1165" s="31"/>
      <c r="AN1165" s="31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</row>
    <row r="1166" spans="38:61" x14ac:dyDescent="0.2">
      <c r="AL1166" s="31"/>
      <c r="AM1166" s="31"/>
      <c r="AN1166" s="31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</row>
    <row r="1167" spans="38:61" x14ac:dyDescent="0.2">
      <c r="AL1167" s="31"/>
      <c r="AM1167" s="31"/>
      <c r="AN1167" s="31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</row>
    <row r="1168" spans="38:61" x14ac:dyDescent="0.2">
      <c r="AL1168" s="31"/>
      <c r="AM1168" s="31"/>
      <c r="AN1168" s="31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</row>
    <row r="1169" spans="38:61" x14ac:dyDescent="0.2">
      <c r="AL1169" s="31"/>
      <c r="AM1169" s="31"/>
      <c r="AN1169" s="31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</row>
    <row r="1170" spans="38:61" x14ac:dyDescent="0.2">
      <c r="AL1170" s="31"/>
      <c r="AM1170" s="31"/>
      <c r="AN1170" s="31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</row>
    <row r="1171" spans="38:61" x14ac:dyDescent="0.2">
      <c r="AL1171" s="31"/>
      <c r="AM1171" s="31"/>
      <c r="AN1171" s="31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</row>
    <row r="1172" spans="38:61" x14ac:dyDescent="0.2">
      <c r="AL1172" s="31"/>
      <c r="AM1172" s="31"/>
      <c r="AN1172" s="31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</row>
    <row r="1173" spans="38:61" x14ac:dyDescent="0.2">
      <c r="AL1173" s="31"/>
      <c r="AM1173" s="31"/>
      <c r="AN1173" s="31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</row>
    <row r="1174" spans="38:61" x14ac:dyDescent="0.2">
      <c r="AL1174" s="31"/>
      <c r="AM1174" s="31"/>
      <c r="AN1174" s="31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</row>
    <row r="1175" spans="38:61" x14ac:dyDescent="0.2">
      <c r="AL1175" s="31"/>
      <c r="AM1175" s="31"/>
      <c r="AN1175" s="31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</row>
    <row r="1176" spans="38:61" x14ac:dyDescent="0.2">
      <c r="AL1176" s="31"/>
      <c r="AM1176" s="31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</row>
    <row r="1177" spans="38:61" x14ac:dyDescent="0.2">
      <c r="AL1177" s="31"/>
      <c r="AM1177" s="31"/>
      <c r="AN1177" s="31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</row>
    <row r="1178" spans="38:61" x14ac:dyDescent="0.2">
      <c r="AL1178" s="31"/>
      <c r="AM1178" s="31"/>
      <c r="AN1178" s="31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</row>
    <row r="1179" spans="38:61" x14ac:dyDescent="0.2">
      <c r="AL1179" s="31"/>
      <c r="AM1179" s="31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</row>
    <row r="1180" spans="38:61" x14ac:dyDescent="0.2"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</row>
    <row r="1181" spans="38:61" x14ac:dyDescent="0.2">
      <c r="AL1181" s="31"/>
      <c r="AM1181" s="31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</row>
    <row r="1182" spans="38:61" x14ac:dyDescent="0.2"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</row>
    <row r="1183" spans="38:61" x14ac:dyDescent="0.2">
      <c r="AL1183" s="31"/>
      <c r="AM1183" s="31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</row>
    <row r="1184" spans="38:61" x14ac:dyDescent="0.2">
      <c r="AL1184" s="31"/>
      <c r="AM1184" s="31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</row>
    <row r="1185" spans="38:61" x14ac:dyDescent="0.2">
      <c r="AL1185" s="31"/>
      <c r="AM1185" s="31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</row>
    <row r="1186" spans="38:61" x14ac:dyDescent="0.2">
      <c r="AL1186" s="31"/>
      <c r="AM1186" s="31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</row>
    <row r="1187" spans="38:61" x14ac:dyDescent="0.2"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</row>
    <row r="1188" spans="38:61" x14ac:dyDescent="0.2">
      <c r="AL1188" s="31"/>
      <c r="AM1188" s="31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</row>
    <row r="1189" spans="38:61" x14ac:dyDescent="0.2">
      <c r="AL1189" s="31"/>
      <c r="AM1189" s="31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</row>
    <row r="1190" spans="38:61" x14ac:dyDescent="0.2">
      <c r="AL1190" s="31"/>
      <c r="AM1190" s="31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</row>
    <row r="1191" spans="38:61" x14ac:dyDescent="0.2">
      <c r="AL1191" s="31"/>
      <c r="AM1191" s="31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</row>
    <row r="1192" spans="38:61" x14ac:dyDescent="0.2">
      <c r="AL1192" s="31"/>
      <c r="AM1192" s="31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</row>
    <row r="1193" spans="38:61" x14ac:dyDescent="0.2"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</row>
    <row r="1194" spans="38:61" x14ac:dyDescent="0.2">
      <c r="AL1194" s="31"/>
      <c r="AM1194" s="31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</row>
    <row r="1195" spans="38:61" x14ac:dyDescent="0.2">
      <c r="AL1195" s="31"/>
      <c r="AM1195" s="31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</row>
    <row r="1196" spans="38:61" x14ac:dyDescent="0.2"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</row>
    <row r="1197" spans="38:61" x14ac:dyDescent="0.2">
      <c r="AL1197" s="31"/>
      <c r="AM1197" s="31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</row>
    <row r="1198" spans="38:61" x14ac:dyDescent="0.2">
      <c r="AL1198" s="31"/>
      <c r="AM1198" s="31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</row>
    <row r="1199" spans="38:61" x14ac:dyDescent="0.2">
      <c r="AL1199" s="31"/>
      <c r="AM1199" s="31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</row>
    <row r="1200" spans="38:61" x14ac:dyDescent="0.2">
      <c r="AL1200" s="31"/>
      <c r="AM1200" s="31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</row>
    <row r="1201" spans="38:61" x14ac:dyDescent="0.2">
      <c r="AL1201" s="31"/>
      <c r="AM1201" s="31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</row>
    <row r="1202" spans="38:61" x14ac:dyDescent="0.2">
      <c r="AL1202" s="31"/>
      <c r="AM1202" s="31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</row>
    <row r="1203" spans="38:61" x14ac:dyDescent="0.2">
      <c r="AL1203" s="31"/>
      <c r="AM1203" s="31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</row>
    <row r="1204" spans="38:61" x14ac:dyDescent="0.2"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</row>
    <row r="1205" spans="38:61" x14ac:dyDescent="0.2">
      <c r="AL1205" s="31"/>
      <c r="AM1205" s="31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</row>
    <row r="1206" spans="38:61" x14ac:dyDescent="0.2">
      <c r="AL1206" s="31"/>
      <c r="AM1206" s="31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</row>
    <row r="1207" spans="38:61" x14ac:dyDescent="0.2">
      <c r="AL1207" s="31"/>
      <c r="AM1207" s="31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</row>
    <row r="1208" spans="38:61" x14ac:dyDescent="0.2">
      <c r="AL1208" s="31"/>
      <c r="AM1208" s="31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</row>
    <row r="1209" spans="38:61" x14ac:dyDescent="0.2">
      <c r="AL1209" s="31"/>
      <c r="AM1209" s="31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</row>
    <row r="1210" spans="38:61" x14ac:dyDescent="0.2">
      <c r="AL1210" s="31"/>
      <c r="AM1210" s="31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</row>
    <row r="1211" spans="38:61" x14ac:dyDescent="0.2">
      <c r="AL1211" s="31"/>
      <c r="AM1211" s="31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</row>
    <row r="1212" spans="38:61" x14ac:dyDescent="0.2"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</row>
    <row r="1213" spans="38:61" x14ac:dyDescent="0.2">
      <c r="AL1213" s="31"/>
      <c r="AM1213" s="31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</row>
    <row r="1214" spans="38:61" x14ac:dyDescent="0.2"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</row>
    <row r="1215" spans="38:61" x14ac:dyDescent="0.2">
      <c r="AL1215" s="31"/>
      <c r="AM1215" s="31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</row>
    <row r="1216" spans="38:61" x14ac:dyDescent="0.2">
      <c r="AL1216" s="31"/>
      <c r="AM1216" s="31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</row>
    <row r="1217" spans="38:61" x14ac:dyDescent="0.2">
      <c r="AL1217" s="31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</row>
    <row r="1218" spans="38:61" x14ac:dyDescent="0.2">
      <c r="AL1218" s="31"/>
      <c r="AM1218" s="31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</row>
    <row r="1219" spans="38:61" x14ac:dyDescent="0.2">
      <c r="AL1219" s="31"/>
      <c r="AM1219" s="31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</row>
    <row r="1220" spans="38:61" x14ac:dyDescent="0.2">
      <c r="AL1220" s="31"/>
      <c r="AM1220" s="31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</row>
    <row r="1221" spans="38:61" x14ac:dyDescent="0.2">
      <c r="AL1221" s="31"/>
      <c r="AM1221" s="31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</row>
    <row r="1222" spans="38:61" x14ac:dyDescent="0.2">
      <c r="AL1222" s="31"/>
      <c r="AM1222" s="31"/>
      <c r="AN1222" s="31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</row>
    <row r="1223" spans="38:61" x14ac:dyDescent="0.2">
      <c r="AL1223" s="31"/>
      <c r="AM1223" s="31"/>
      <c r="AN1223" s="31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</row>
    <row r="1224" spans="38:61" x14ac:dyDescent="0.2">
      <c r="AL1224" s="31"/>
      <c r="AM1224" s="31"/>
      <c r="AN1224" s="31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</row>
    <row r="1225" spans="38:61" x14ac:dyDescent="0.2">
      <c r="AL1225" s="31"/>
      <c r="AM1225" s="31"/>
      <c r="AN1225" s="31"/>
      <c r="AO1225" s="31"/>
      <c r="AP1225" s="31"/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</row>
    <row r="1226" spans="38:61" x14ac:dyDescent="0.2">
      <c r="AL1226" s="31"/>
      <c r="AM1226" s="31"/>
      <c r="AN1226" s="31"/>
      <c r="AO1226" s="31"/>
      <c r="AP1226" s="31"/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</row>
    <row r="1227" spans="38:61" x14ac:dyDescent="0.2">
      <c r="AL1227" s="31"/>
      <c r="AM1227" s="31"/>
      <c r="AN1227" s="31"/>
      <c r="AO1227" s="31"/>
      <c r="AP1227" s="31"/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</row>
    <row r="1228" spans="38:61" x14ac:dyDescent="0.2">
      <c r="AL1228" s="31"/>
      <c r="AM1228" s="31"/>
      <c r="AN1228" s="31"/>
      <c r="AO1228" s="31"/>
      <c r="AP1228" s="31"/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</row>
    <row r="1229" spans="38:61" x14ac:dyDescent="0.2">
      <c r="AL1229" s="31"/>
      <c r="AM1229" s="31"/>
      <c r="AN1229" s="31"/>
      <c r="AO1229" s="31"/>
      <c r="AP1229" s="31"/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</row>
    <row r="1230" spans="38:61" x14ac:dyDescent="0.2">
      <c r="AL1230" s="31"/>
      <c r="AM1230" s="31"/>
      <c r="AN1230" s="31"/>
      <c r="AO1230" s="31"/>
      <c r="AP1230" s="31"/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</row>
    <row r="1231" spans="38:61" x14ac:dyDescent="0.2">
      <c r="AL1231" s="31"/>
      <c r="AM1231" s="31"/>
      <c r="AN1231" s="31"/>
      <c r="AO1231" s="31"/>
      <c r="AP1231" s="31"/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</row>
    <row r="1232" spans="38:61" x14ac:dyDescent="0.2">
      <c r="AL1232" s="31"/>
      <c r="AM1232" s="31"/>
      <c r="AN1232" s="31"/>
      <c r="AO1232" s="31"/>
      <c r="AP1232" s="31"/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</row>
    <row r="1233" spans="38:61" x14ac:dyDescent="0.2">
      <c r="AL1233" s="31"/>
      <c r="AM1233" s="31"/>
      <c r="AN1233" s="31"/>
      <c r="AO1233" s="31"/>
      <c r="AP1233" s="31"/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</row>
    <row r="1234" spans="38:61" x14ac:dyDescent="0.2">
      <c r="AL1234" s="31"/>
      <c r="AM1234" s="31"/>
      <c r="AN1234" s="31"/>
      <c r="AO1234" s="31"/>
      <c r="AP1234" s="31"/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</row>
    <row r="1235" spans="38:61" x14ac:dyDescent="0.2">
      <c r="AL1235" s="31"/>
      <c r="AM1235" s="31"/>
      <c r="AN1235" s="31"/>
      <c r="AO1235" s="31"/>
      <c r="AP1235" s="31"/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</row>
    <row r="1236" spans="38:61" x14ac:dyDescent="0.2">
      <c r="AL1236" s="31"/>
      <c r="AM1236" s="31"/>
      <c r="AN1236" s="31"/>
      <c r="AO1236" s="31"/>
      <c r="AP1236" s="31"/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</row>
    <row r="1237" spans="38:61" x14ac:dyDescent="0.2">
      <c r="AL1237" s="31"/>
      <c r="AM1237" s="31"/>
      <c r="AN1237" s="31"/>
      <c r="AO1237" s="31"/>
      <c r="AP1237" s="31"/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</row>
    <row r="1238" spans="38:61" x14ac:dyDescent="0.2">
      <c r="AL1238" s="31"/>
      <c r="AM1238" s="31"/>
      <c r="AN1238" s="31"/>
      <c r="AO1238" s="31"/>
      <c r="AP1238" s="31"/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</row>
    <row r="1239" spans="38:61" x14ac:dyDescent="0.2">
      <c r="AL1239" s="31"/>
      <c r="AM1239" s="31"/>
      <c r="AN1239" s="31"/>
      <c r="AO1239" s="31"/>
      <c r="AP1239" s="31"/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</row>
    <row r="1240" spans="38:61" x14ac:dyDescent="0.2">
      <c r="AL1240" s="31"/>
      <c r="AM1240" s="31"/>
      <c r="AN1240" s="31"/>
      <c r="AO1240" s="31"/>
      <c r="AP1240" s="31"/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</row>
    <row r="1241" spans="38:61" x14ac:dyDescent="0.2">
      <c r="AL1241" s="31"/>
      <c r="AM1241" s="31"/>
      <c r="AN1241" s="31"/>
      <c r="AO1241" s="31"/>
      <c r="AP1241" s="31"/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</row>
    <row r="1242" spans="38:61" x14ac:dyDescent="0.2">
      <c r="AL1242" s="31"/>
      <c r="AM1242" s="31"/>
      <c r="AN1242" s="31"/>
      <c r="AO1242" s="31"/>
      <c r="AP1242" s="31"/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</row>
    <row r="1243" spans="38:61" x14ac:dyDescent="0.2">
      <c r="AL1243" s="31"/>
      <c r="AM1243" s="31"/>
      <c r="AN1243" s="31"/>
      <c r="AO1243" s="31"/>
      <c r="AP1243" s="31"/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</row>
    <row r="1244" spans="38:61" x14ac:dyDescent="0.2">
      <c r="AL1244" s="31"/>
      <c r="AM1244" s="31"/>
      <c r="AN1244" s="31"/>
      <c r="AO1244" s="31"/>
      <c r="AP1244" s="31"/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</row>
    <row r="1245" spans="38:61" x14ac:dyDescent="0.2">
      <c r="AL1245" s="31"/>
      <c r="AM1245" s="31"/>
      <c r="AN1245" s="31"/>
      <c r="AO1245" s="31"/>
      <c r="AP1245" s="31"/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</row>
    <row r="1246" spans="38:61" x14ac:dyDescent="0.2">
      <c r="AL1246" s="31"/>
      <c r="AM1246" s="31"/>
      <c r="AN1246" s="31"/>
      <c r="AO1246" s="31"/>
      <c r="AP1246" s="31"/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</row>
    <row r="1247" spans="38:61" x14ac:dyDescent="0.2">
      <c r="AL1247" s="31"/>
      <c r="AM1247" s="31"/>
      <c r="AN1247" s="31"/>
      <c r="AO1247" s="31"/>
      <c r="AP1247" s="31"/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</row>
    <row r="1248" spans="38:61" x14ac:dyDescent="0.2">
      <c r="AL1248" s="31"/>
      <c r="AM1248" s="31"/>
      <c r="AN1248" s="31"/>
      <c r="AO1248" s="31"/>
      <c r="AP1248" s="31"/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</row>
    <row r="1249" spans="38:61" x14ac:dyDescent="0.2">
      <c r="AL1249" s="31"/>
      <c r="AM1249" s="31"/>
      <c r="AN1249" s="31"/>
      <c r="AO1249" s="31"/>
      <c r="AP1249" s="31"/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</row>
    <row r="1250" spans="38:61" x14ac:dyDescent="0.2">
      <c r="AL1250" s="31"/>
      <c r="AM1250" s="31"/>
      <c r="AN1250" s="31"/>
      <c r="AO1250" s="31"/>
      <c r="AP1250" s="31"/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</row>
    <row r="1251" spans="38:61" x14ac:dyDescent="0.2">
      <c r="AL1251" s="31"/>
      <c r="AM1251" s="31"/>
      <c r="AN1251" s="31"/>
      <c r="AO1251" s="31"/>
      <c r="AP1251" s="31"/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</row>
    <row r="1252" spans="38:61" x14ac:dyDescent="0.2">
      <c r="AL1252" s="31"/>
      <c r="AM1252" s="31"/>
      <c r="AN1252" s="31"/>
      <c r="AO1252" s="31"/>
      <c r="AP1252" s="31"/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</row>
    <row r="1253" spans="38:61" x14ac:dyDescent="0.2">
      <c r="AL1253" s="31"/>
      <c r="AM1253" s="31"/>
      <c r="AN1253" s="31"/>
      <c r="AO1253" s="31"/>
      <c r="AP1253" s="31"/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</row>
    <row r="1254" spans="38:61" x14ac:dyDescent="0.2">
      <c r="AL1254" s="31"/>
      <c r="AM1254" s="31"/>
      <c r="AN1254" s="31"/>
      <c r="AO1254" s="31"/>
      <c r="AP1254" s="31"/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</row>
    <row r="1255" spans="38:61" x14ac:dyDescent="0.2">
      <c r="AL1255" s="31"/>
      <c r="AM1255" s="31"/>
      <c r="AN1255" s="31"/>
      <c r="AO1255" s="31"/>
      <c r="AP1255" s="31"/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</row>
    <row r="1256" spans="38:61" x14ac:dyDescent="0.2">
      <c r="AL1256" s="31"/>
      <c r="AM1256" s="31"/>
      <c r="AN1256" s="31"/>
      <c r="AO1256" s="31"/>
      <c r="AP1256" s="31"/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</row>
    <row r="1257" spans="38:61" x14ac:dyDescent="0.2">
      <c r="AL1257" s="31"/>
      <c r="AM1257" s="31"/>
      <c r="AN1257" s="31"/>
      <c r="AO1257" s="31"/>
      <c r="AP1257" s="31"/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</row>
    <row r="1258" spans="38:61" x14ac:dyDescent="0.2">
      <c r="AL1258" s="31"/>
      <c r="AM1258" s="31"/>
      <c r="AN1258" s="31"/>
      <c r="AO1258" s="31"/>
      <c r="AP1258" s="31"/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</row>
    <row r="1259" spans="38:61" x14ac:dyDescent="0.2">
      <c r="AL1259" s="31"/>
      <c r="AM1259" s="31"/>
      <c r="AN1259" s="31"/>
      <c r="AO1259" s="31"/>
      <c r="AP1259" s="31"/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</row>
    <row r="1260" spans="38:61" x14ac:dyDescent="0.2">
      <c r="AL1260" s="31"/>
      <c r="AM1260" s="31"/>
      <c r="AN1260" s="31"/>
      <c r="AO1260" s="31"/>
      <c r="AP1260" s="31"/>
      <c r="AQ1260" s="31"/>
      <c r="AR1260" s="31"/>
      <c r="AS1260" s="31"/>
      <c r="AT1260" s="31"/>
      <c r="AU1260" s="31"/>
      <c r="AV1260" s="31"/>
      <c r="AW1260" s="31"/>
      <c r="AX1260" s="31"/>
      <c r="AY1260" s="31"/>
      <c r="AZ1260" s="31"/>
      <c r="BA1260" s="31"/>
      <c r="BB1260" s="31"/>
      <c r="BC1260" s="31"/>
      <c r="BD1260" s="31"/>
      <c r="BE1260" s="31"/>
      <c r="BF1260" s="31"/>
      <c r="BG1260" s="31"/>
      <c r="BH1260" s="31"/>
      <c r="BI1260" s="31"/>
    </row>
    <row r="1261" spans="38:61" x14ac:dyDescent="0.2">
      <c r="AL1261" s="31"/>
      <c r="AM1261" s="31"/>
      <c r="AN1261" s="31"/>
      <c r="AO1261" s="31"/>
      <c r="AP1261" s="31"/>
      <c r="AQ1261" s="31"/>
      <c r="AR1261" s="31"/>
      <c r="AS1261" s="31"/>
      <c r="AT1261" s="31"/>
      <c r="AU1261" s="31"/>
      <c r="AV1261" s="31"/>
      <c r="AW1261" s="31"/>
      <c r="AX1261" s="31"/>
      <c r="AY1261" s="31"/>
      <c r="AZ1261" s="31"/>
      <c r="BA1261" s="31"/>
      <c r="BB1261" s="31"/>
      <c r="BC1261" s="31"/>
      <c r="BD1261" s="31"/>
      <c r="BE1261" s="31"/>
      <c r="BF1261" s="31"/>
      <c r="BG1261" s="31"/>
      <c r="BH1261" s="31"/>
      <c r="BI1261" s="31"/>
    </row>
    <row r="1262" spans="38:61" x14ac:dyDescent="0.2">
      <c r="AL1262" s="31"/>
      <c r="AM1262" s="31"/>
      <c r="AN1262" s="31"/>
      <c r="AO1262" s="31"/>
      <c r="AP1262" s="31"/>
      <c r="AQ1262" s="31"/>
      <c r="AR1262" s="31"/>
      <c r="AS1262" s="31"/>
      <c r="AT1262" s="31"/>
      <c r="AU1262" s="31"/>
      <c r="AV1262" s="31"/>
      <c r="AW1262" s="31"/>
      <c r="AX1262" s="31"/>
      <c r="AY1262" s="31"/>
      <c r="AZ1262" s="31"/>
      <c r="BA1262" s="31"/>
      <c r="BB1262" s="31"/>
      <c r="BC1262" s="31"/>
      <c r="BD1262" s="31"/>
      <c r="BE1262" s="31"/>
      <c r="BF1262" s="31"/>
      <c r="BG1262" s="31"/>
      <c r="BH1262" s="31"/>
      <c r="BI1262" s="31"/>
    </row>
    <row r="1263" spans="38:61" x14ac:dyDescent="0.2">
      <c r="AL1263" s="31"/>
      <c r="AM1263" s="31"/>
      <c r="AN1263" s="31"/>
      <c r="AO1263" s="31"/>
      <c r="AP1263" s="31"/>
      <c r="AQ1263" s="31"/>
      <c r="AR1263" s="31"/>
      <c r="AS1263" s="31"/>
      <c r="AT1263" s="31"/>
      <c r="AU1263" s="31"/>
      <c r="AV1263" s="31"/>
      <c r="AW1263" s="31"/>
      <c r="AX1263" s="31"/>
      <c r="AY1263" s="31"/>
      <c r="AZ1263" s="31"/>
      <c r="BA1263" s="31"/>
      <c r="BB1263" s="31"/>
      <c r="BC1263" s="31"/>
      <c r="BD1263" s="31"/>
      <c r="BE1263" s="31"/>
      <c r="BF1263" s="31"/>
      <c r="BG1263" s="31"/>
      <c r="BH1263" s="31"/>
      <c r="BI1263" s="31"/>
    </row>
    <row r="1264" spans="38:61" x14ac:dyDescent="0.2">
      <c r="AL1264" s="31"/>
      <c r="AM1264" s="31"/>
      <c r="AN1264" s="31"/>
      <c r="AO1264" s="31"/>
      <c r="AP1264" s="31"/>
      <c r="AQ1264" s="31"/>
      <c r="AR1264" s="31"/>
      <c r="AS1264" s="31"/>
      <c r="AT1264" s="31"/>
      <c r="AU1264" s="31"/>
      <c r="AV1264" s="31"/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  <c r="BG1264" s="31"/>
      <c r="BH1264" s="31"/>
      <c r="BI1264" s="31"/>
    </row>
    <row r="1265" spans="38:61" x14ac:dyDescent="0.2">
      <c r="AL1265" s="31"/>
      <c r="AM1265" s="31"/>
      <c r="AN1265" s="31"/>
      <c r="AO1265" s="31"/>
      <c r="AP1265" s="31"/>
      <c r="AQ1265" s="31"/>
      <c r="AR1265" s="31"/>
      <c r="AS1265" s="31"/>
      <c r="AT1265" s="31"/>
      <c r="AU1265" s="31"/>
      <c r="AV1265" s="31"/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  <c r="BG1265" s="31"/>
      <c r="BH1265" s="31"/>
      <c r="BI1265" s="31"/>
    </row>
    <row r="1266" spans="38:61" x14ac:dyDescent="0.2">
      <c r="AL1266" s="31"/>
      <c r="AM1266" s="31"/>
      <c r="AN1266" s="31"/>
      <c r="AO1266" s="31"/>
      <c r="AP1266" s="31"/>
      <c r="AQ1266" s="31"/>
      <c r="AR1266" s="31"/>
      <c r="AS1266" s="31"/>
      <c r="AT1266" s="31"/>
      <c r="AU1266" s="31"/>
      <c r="AV1266" s="31"/>
      <c r="AW1266" s="31"/>
      <c r="AX1266" s="31"/>
      <c r="AY1266" s="31"/>
      <c r="AZ1266" s="31"/>
      <c r="BA1266" s="31"/>
      <c r="BB1266" s="31"/>
      <c r="BC1266" s="31"/>
      <c r="BD1266" s="31"/>
      <c r="BE1266" s="31"/>
      <c r="BF1266" s="31"/>
      <c r="BG1266" s="31"/>
      <c r="BH1266" s="31"/>
      <c r="BI1266" s="31"/>
    </row>
    <row r="1267" spans="38:61" x14ac:dyDescent="0.2">
      <c r="AL1267" s="31"/>
      <c r="AM1267" s="31"/>
      <c r="AN1267" s="31"/>
      <c r="AO1267" s="31"/>
      <c r="AP1267" s="31"/>
      <c r="AQ1267" s="31"/>
      <c r="AR1267" s="31"/>
      <c r="AS1267" s="31"/>
      <c r="AT1267" s="31"/>
      <c r="AU1267" s="31"/>
      <c r="AV1267" s="31"/>
      <c r="AW1267" s="31"/>
      <c r="AX1267" s="31"/>
      <c r="AY1267" s="31"/>
      <c r="AZ1267" s="31"/>
      <c r="BA1267" s="31"/>
      <c r="BB1267" s="31"/>
      <c r="BC1267" s="31"/>
      <c r="BD1267" s="31"/>
      <c r="BE1267" s="31"/>
      <c r="BF1267" s="31"/>
      <c r="BG1267" s="31"/>
      <c r="BH1267" s="31"/>
      <c r="BI1267" s="31"/>
    </row>
    <row r="1268" spans="38:61" x14ac:dyDescent="0.2">
      <c r="AL1268" s="31"/>
      <c r="AM1268" s="31"/>
      <c r="AN1268" s="31"/>
      <c r="AO1268" s="31"/>
      <c r="AP1268" s="31"/>
      <c r="AQ1268" s="31"/>
      <c r="AR1268" s="31"/>
      <c r="AS1268" s="31"/>
      <c r="AT1268" s="31"/>
      <c r="AU1268" s="31"/>
      <c r="AV1268" s="31"/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  <c r="BG1268" s="31"/>
      <c r="BH1268" s="31"/>
      <c r="BI1268" s="31"/>
    </row>
    <row r="1269" spans="38:61" x14ac:dyDescent="0.2">
      <c r="AL1269" s="31"/>
      <c r="AM1269" s="31"/>
      <c r="AN1269" s="31"/>
      <c r="AO1269" s="31"/>
      <c r="AP1269" s="31"/>
      <c r="AQ1269" s="31"/>
      <c r="AR1269" s="31"/>
      <c r="AS1269" s="31"/>
      <c r="AT1269" s="31"/>
      <c r="AU1269" s="31"/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  <c r="BH1269" s="31"/>
      <c r="BI1269" s="31"/>
    </row>
    <row r="1270" spans="38:61" x14ac:dyDescent="0.2">
      <c r="AL1270" s="31"/>
      <c r="AM1270" s="31"/>
      <c r="AN1270" s="31"/>
      <c r="AO1270" s="31"/>
      <c r="AP1270" s="31"/>
      <c r="AQ1270" s="31"/>
      <c r="AR1270" s="31"/>
      <c r="AS1270" s="31"/>
      <c r="AT1270" s="31"/>
      <c r="AU1270" s="31"/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  <c r="BH1270" s="31"/>
      <c r="BI1270" s="31"/>
    </row>
    <row r="1271" spans="38:61" x14ac:dyDescent="0.2">
      <c r="AL1271" s="31"/>
      <c r="AM1271" s="31"/>
      <c r="AN1271" s="31"/>
      <c r="AO1271" s="31"/>
      <c r="AP1271" s="31"/>
      <c r="AQ1271" s="31"/>
      <c r="AR1271" s="31"/>
      <c r="AS1271" s="31"/>
      <c r="AT1271" s="31"/>
      <c r="AU1271" s="31"/>
      <c r="AV1271" s="31"/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  <c r="BH1271" s="31"/>
      <c r="BI1271" s="31"/>
    </row>
    <row r="1272" spans="38:61" x14ac:dyDescent="0.2">
      <c r="AL1272" s="31"/>
      <c r="AM1272" s="31"/>
      <c r="AN1272" s="31"/>
      <c r="AO1272" s="31"/>
      <c r="AP1272" s="31"/>
      <c r="AQ1272" s="31"/>
      <c r="AR1272" s="31"/>
      <c r="AS1272" s="31"/>
      <c r="AT1272" s="31"/>
      <c r="AU1272" s="31"/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1"/>
      <c r="BI1272" s="31"/>
    </row>
    <row r="1273" spans="38:61" x14ac:dyDescent="0.2">
      <c r="AL1273" s="31"/>
      <c r="AM1273" s="31"/>
      <c r="AN1273" s="31"/>
      <c r="AO1273" s="31"/>
      <c r="AP1273" s="31"/>
      <c r="AQ1273" s="31"/>
      <c r="AR1273" s="31"/>
      <c r="AS1273" s="31"/>
      <c r="AT1273" s="31"/>
      <c r="AU1273" s="31"/>
      <c r="AV1273" s="31"/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  <c r="BH1273" s="31"/>
      <c r="BI1273" s="31"/>
    </row>
    <row r="1274" spans="38:61" x14ac:dyDescent="0.2">
      <c r="AL1274" s="31"/>
      <c r="AM1274" s="31"/>
      <c r="AN1274" s="31"/>
      <c r="AO1274" s="31"/>
      <c r="AP1274" s="31"/>
      <c r="AQ1274" s="31"/>
      <c r="AR1274" s="31"/>
      <c r="AS1274" s="31"/>
      <c r="AT1274" s="31"/>
      <c r="AU1274" s="31"/>
      <c r="AV1274" s="31"/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  <c r="BH1274" s="31"/>
      <c r="BI1274" s="31"/>
    </row>
    <row r="1275" spans="38:61" x14ac:dyDescent="0.2">
      <c r="AL1275" s="31"/>
      <c r="AM1275" s="31"/>
      <c r="AN1275" s="31"/>
      <c r="AO1275" s="31"/>
      <c r="AP1275" s="31"/>
      <c r="AQ1275" s="31"/>
      <c r="AR1275" s="31"/>
      <c r="AS1275" s="31"/>
      <c r="AT1275" s="31"/>
      <c r="AU1275" s="31"/>
      <c r="AV1275" s="31"/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  <c r="BH1275" s="31"/>
      <c r="BI1275" s="31"/>
    </row>
    <row r="1276" spans="38:61" x14ac:dyDescent="0.2">
      <c r="AL1276" s="31"/>
      <c r="AM1276" s="31"/>
      <c r="AN1276" s="31"/>
      <c r="AO1276" s="31"/>
      <c r="AP1276" s="31"/>
      <c r="AQ1276" s="31"/>
      <c r="AR1276" s="31"/>
      <c r="AS1276" s="31"/>
      <c r="AT1276" s="31"/>
      <c r="AU1276" s="31"/>
      <c r="AV1276" s="31"/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  <c r="BH1276" s="31"/>
      <c r="BI1276" s="31"/>
    </row>
    <row r="1277" spans="38:61" x14ac:dyDescent="0.2">
      <c r="AL1277" s="31"/>
      <c r="AM1277" s="31"/>
      <c r="AN1277" s="31"/>
      <c r="AO1277" s="31"/>
      <c r="AP1277" s="31"/>
      <c r="AQ1277" s="31"/>
      <c r="AR1277" s="31"/>
      <c r="AS1277" s="31"/>
      <c r="AT1277" s="31"/>
      <c r="AU1277" s="31"/>
      <c r="AV1277" s="31"/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1"/>
      <c r="BI1277" s="31"/>
    </row>
    <row r="1278" spans="38:61" x14ac:dyDescent="0.2">
      <c r="AL1278" s="31"/>
      <c r="AM1278" s="31"/>
      <c r="AN1278" s="31"/>
      <c r="AO1278" s="31"/>
      <c r="AP1278" s="31"/>
      <c r="AQ1278" s="31"/>
      <c r="AR1278" s="31"/>
      <c r="AS1278" s="31"/>
      <c r="AT1278" s="31"/>
      <c r="AU1278" s="31"/>
      <c r="AV1278" s="31"/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1"/>
      <c r="BI1278" s="31"/>
    </row>
    <row r="1279" spans="38:61" x14ac:dyDescent="0.2">
      <c r="AL1279" s="31"/>
      <c r="AM1279" s="31"/>
      <c r="AN1279" s="31"/>
      <c r="AO1279" s="31"/>
      <c r="AP1279" s="31"/>
      <c r="AQ1279" s="31"/>
      <c r="AR1279" s="31"/>
      <c r="AS1279" s="31"/>
      <c r="AT1279" s="31"/>
      <c r="AU1279" s="31"/>
      <c r="AV1279" s="31"/>
      <c r="AW1279" s="31"/>
      <c r="AX1279" s="31"/>
      <c r="AY1279" s="31"/>
      <c r="AZ1279" s="31"/>
      <c r="BA1279" s="31"/>
      <c r="BB1279" s="31"/>
      <c r="BC1279" s="31"/>
      <c r="BD1279" s="31"/>
      <c r="BE1279" s="31"/>
      <c r="BF1279" s="31"/>
      <c r="BG1279" s="31"/>
      <c r="BH1279" s="31"/>
      <c r="BI1279" s="31"/>
    </row>
    <row r="1280" spans="38:61" x14ac:dyDescent="0.2">
      <c r="AL1280" s="31"/>
      <c r="AM1280" s="31"/>
      <c r="AN1280" s="31"/>
      <c r="AO1280" s="31"/>
      <c r="AP1280" s="31"/>
      <c r="AQ1280" s="31"/>
      <c r="AR1280" s="31"/>
      <c r="AS1280" s="31"/>
      <c r="AT1280" s="31"/>
      <c r="AU1280" s="31"/>
      <c r="AV1280" s="31"/>
      <c r="AW1280" s="31"/>
      <c r="AX1280" s="31"/>
      <c r="AY1280" s="31"/>
      <c r="AZ1280" s="31"/>
      <c r="BA1280" s="31"/>
      <c r="BB1280" s="31"/>
      <c r="BC1280" s="31"/>
      <c r="BD1280" s="31"/>
      <c r="BE1280" s="31"/>
      <c r="BF1280" s="31"/>
      <c r="BG1280" s="31"/>
      <c r="BH1280" s="31"/>
      <c r="BI1280" s="31"/>
    </row>
    <row r="1281" spans="38:61" x14ac:dyDescent="0.2"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</row>
    <row r="1282" spans="38:61" x14ac:dyDescent="0.2">
      <c r="AL1282" s="31"/>
      <c r="AM1282" s="31"/>
      <c r="AN1282" s="31"/>
      <c r="AO1282" s="31"/>
      <c r="AP1282" s="31"/>
      <c r="AQ1282" s="31"/>
      <c r="AR1282" s="31"/>
      <c r="AS1282" s="31"/>
      <c r="AT1282" s="31"/>
      <c r="AU1282" s="31"/>
      <c r="AV1282" s="31"/>
      <c r="AW1282" s="31"/>
      <c r="AX1282" s="31"/>
      <c r="AY1282" s="31"/>
      <c r="AZ1282" s="31"/>
      <c r="BA1282" s="31"/>
      <c r="BB1282" s="31"/>
      <c r="BC1282" s="31"/>
      <c r="BD1282" s="31"/>
      <c r="BE1282" s="31"/>
      <c r="BF1282" s="31"/>
      <c r="BG1282" s="31"/>
      <c r="BH1282" s="31"/>
      <c r="BI1282" s="31"/>
    </row>
    <row r="1283" spans="38:61" x14ac:dyDescent="0.2">
      <c r="AL1283" s="31"/>
      <c r="AM1283" s="31"/>
      <c r="AN1283" s="31"/>
      <c r="AO1283" s="31"/>
      <c r="AP1283" s="31"/>
      <c r="AQ1283" s="31"/>
      <c r="AR1283" s="31"/>
      <c r="AS1283" s="31"/>
      <c r="AT1283" s="31"/>
      <c r="AU1283" s="31"/>
      <c r="AV1283" s="31"/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1"/>
      <c r="BI1283" s="31"/>
    </row>
    <row r="1284" spans="38:61" x14ac:dyDescent="0.2">
      <c r="AL1284" s="31"/>
      <c r="AM1284" s="31"/>
      <c r="AN1284" s="31"/>
      <c r="AO1284" s="31"/>
      <c r="AP1284" s="31"/>
      <c r="AQ1284" s="31"/>
      <c r="AR1284" s="31"/>
      <c r="AS1284" s="31"/>
      <c r="AT1284" s="31"/>
      <c r="AU1284" s="31"/>
      <c r="AV1284" s="31"/>
      <c r="AW1284" s="31"/>
      <c r="AX1284" s="31"/>
      <c r="AY1284" s="31"/>
      <c r="AZ1284" s="31"/>
      <c r="BA1284" s="31"/>
      <c r="BB1284" s="31"/>
      <c r="BC1284" s="31"/>
      <c r="BD1284" s="31"/>
      <c r="BE1284" s="31"/>
      <c r="BF1284" s="31"/>
      <c r="BG1284" s="31"/>
      <c r="BH1284" s="31"/>
      <c r="BI1284" s="31"/>
    </row>
    <row r="1285" spans="38:61" x14ac:dyDescent="0.2">
      <c r="AL1285" s="31"/>
      <c r="AM1285" s="31"/>
      <c r="AN1285" s="31"/>
      <c r="AO1285" s="31"/>
      <c r="AP1285" s="31"/>
      <c r="AQ1285" s="31"/>
      <c r="AR1285" s="31"/>
      <c r="AS1285" s="31"/>
      <c r="AT1285" s="31"/>
      <c r="AU1285" s="31"/>
      <c r="AV1285" s="31"/>
      <c r="AW1285" s="31"/>
      <c r="AX1285" s="31"/>
      <c r="AY1285" s="31"/>
      <c r="AZ1285" s="31"/>
      <c r="BA1285" s="31"/>
      <c r="BB1285" s="31"/>
      <c r="BC1285" s="31"/>
      <c r="BD1285" s="31"/>
      <c r="BE1285" s="31"/>
      <c r="BF1285" s="31"/>
      <c r="BG1285" s="31"/>
      <c r="BH1285" s="31"/>
      <c r="BI1285" s="31"/>
    </row>
    <row r="1286" spans="38:61" x14ac:dyDescent="0.2">
      <c r="AL1286" s="31"/>
      <c r="AM1286" s="31"/>
      <c r="AN1286" s="31"/>
      <c r="AO1286" s="31"/>
      <c r="AP1286" s="31"/>
      <c r="AQ1286" s="31"/>
      <c r="AR1286" s="31"/>
      <c r="AS1286" s="31"/>
      <c r="AT1286" s="31"/>
      <c r="AU1286" s="31"/>
      <c r="AV1286" s="31"/>
      <c r="AW1286" s="31"/>
      <c r="AX1286" s="31"/>
      <c r="AY1286" s="31"/>
      <c r="AZ1286" s="31"/>
      <c r="BA1286" s="31"/>
      <c r="BB1286" s="31"/>
      <c r="BC1286" s="31"/>
      <c r="BD1286" s="31"/>
      <c r="BE1286" s="31"/>
      <c r="BF1286" s="31"/>
      <c r="BG1286" s="31"/>
      <c r="BH1286" s="31"/>
      <c r="BI1286" s="31"/>
    </row>
    <row r="1287" spans="38:61" x14ac:dyDescent="0.2">
      <c r="AL1287" s="31"/>
      <c r="AM1287" s="31"/>
      <c r="AN1287" s="31"/>
      <c r="AO1287" s="31"/>
      <c r="AP1287" s="31"/>
      <c r="AQ1287" s="31"/>
      <c r="AR1287" s="31"/>
      <c r="AS1287" s="31"/>
      <c r="AT1287" s="31"/>
      <c r="AU1287" s="31"/>
      <c r="AV1287" s="31"/>
      <c r="AW1287" s="31"/>
      <c r="AX1287" s="31"/>
      <c r="AY1287" s="31"/>
      <c r="AZ1287" s="31"/>
      <c r="BA1287" s="31"/>
      <c r="BB1287" s="31"/>
      <c r="BC1287" s="31"/>
      <c r="BD1287" s="31"/>
      <c r="BE1287" s="31"/>
      <c r="BF1287" s="31"/>
      <c r="BG1287" s="31"/>
      <c r="BH1287" s="31"/>
      <c r="BI1287" s="31"/>
    </row>
    <row r="1288" spans="38:61" x14ac:dyDescent="0.2">
      <c r="AL1288" s="31"/>
      <c r="AM1288" s="31"/>
      <c r="AN1288" s="31"/>
      <c r="AO1288" s="31"/>
      <c r="AP1288" s="31"/>
      <c r="AQ1288" s="31"/>
      <c r="AR1288" s="31"/>
      <c r="AS1288" s="31"/>
      <c r="AT1288" s="31"/>
      <c r="AU1288" s="31"/>
      <c r="AV1288" s="31"/>
      <c r="AW1288" s="31"/>
      <c r="AX1288" s="31"/>
      <c r="AY1288" s="31"/>
      <c r="AZ1288" s="31"/>
      <c r="BA1288" s="31"/>
      <c r="BB1288" s="31"/>
      <c r="BC1288" s="31"/>
      <c r="BD1288" s="31"/>
      <c r="BE1288" s="31"/>
      <c r="BF1288" s="31"/>
      <c r="BG1288" s="31"/>
      <c r="BH1288" s="31"/>
      <c r="BI1288" s="31"/>
    </row>
    <row r="1289" spans="38:61" x14ac:dyDescent="0.2">
      <c r="AL1289" s="31"/>
      <c r="AM1289" s="31"/>
      <c r="AN1289" s="31"/>
      <c r="AO1289" s="31"/>
      <c r="AP1289" s="31"/>
      <c r="AQ1289" s="31"/>
      <c r="AR1289" s="31"/>
      <c r="AS1289" s="31"/>
      <c r="AT1289" s="31"/>
      <c r="AU1289" s="31"/>
      <c r="AV1289" s="31"/>
      <c r="AW1289" s="31"/>
      <c r="AX1289" s="31"/>
      <c r="AY1289" s="31"/>
      <c r="AZ1289" s="31"/>
      <c r="BA1289" s="31"/>
      <c r="BB1289" s="31"/>
      <c r="BC1289" s="31"/>
      <c r="BD1289" s="31"/>
      <c r="BE1289" s="31"/>
      <c r="BF1289" s="31"/>
      <c r="BG1289" s="31"/>
      <c r="BH1289" s="31"/>
      <c r="BI1289" s="31"/>
    </row>
    <row r="1290" spans="38:61" x14ac:dyDescent="0.2">
      <c r="AL1290" s="31"/>
      <c r="AM1290" s="31"/>
      <c r="AN1290" s="31"/>
      <c r="AO1290" s="31"/>
      <c r="AP1290" s="31"/>
      <c r="AQ1290" s="31"/>
      <c r="AR1290" s="31"/>
      <c r="AS1290" s="31"/>
      <c r="AT1290" s="31"/>
      <c r="AU1290" s="31"/>
      <c r="AV1290" s="31"/>
      <c r="AW1290" s="31"/>
      <c r="AX1290" s="31"/>
      <c r="AY1290" s="31"/>
      <c r="AZ1290" s="31"/>
      <c r="BA1290" s="31"/>
      <c r="BB1290" s="31"/>
      <c r="BC1290" s="31"/>
      <c r="BD1290" s="31"/>
      <c r="BE1290" s="31"/>
      <c r="BF1290" s="31"/>
      <c r="BG1290" s="31"/>
      <c r="BH1290" s="31"/>
      <c r="BI1290" s="31"/>
    </row>
    <row r="1291" spans="38:61" x14ac:dyDescent="0.2">
      <c r="AL1291" s="31"/>
      <c r="AM1291" s="31"/>
      <c r="AN1291" s="31"/>
      <c r="AO1291" s="31"/>
      <c r="AP1291" s="31"/>
      <c r="AQ1291" s="31"/>
      <c r="AR1291" s="31"/>
      <c r="AS1291" s="31"/>
      <c r="AT1291" s="31"/>
      <c r="AU1291" s="31"/>
      <c r="AV1291" s="31"/>
      <c r="AW1291" s="31"/>
      <c r="AX1291" s="31"/>
      <c r="AY1291" s="31"/>
      <c r="AZ1291" s="31"/>
      <c r="BA1291" s="31"/>
      <c r="BB1291" s="31"/>
      <c r="BC1291" s="31"/>
      <c r="BD1291" s="31"/>
      <c r="BE1291" s="31"/>
      <c r="BF1291" s="31"/>
      <c r="BG1291" s="31"/>
      <c r="BH1291" s="31"/>
      <c r="BI1291" s="31"/>
    </row>
    <row r="1292" spans="38:61" x14ac:dyDescent="0.2">
      <c r="AL1292" s="31"/>
      <c r="AM1292" s="31"/>
      <c r="AN1292" s="31"/>
      <c r="AO1292" s="31"/>
      <c r="AP1292" s="31"/>
      <c r="AQ1292" s="31"/>
      <c r="AR1292" s="31"/>
      <c r="AS1292" s="31"/>
      <c r="AT1292" s="31"/>
      <c r="AU1292" s="31"/>
      <c r="AV1292" s="31"/>
      <c r="AW1292" s="31"/>
      <c r="AX1292" s="31"/>
      <c r="AY1292" s="31"/>
      <c r="AZ1292" s="31"/>
      <c r="BA1292" s="31"/>
      <c r="BB1292" s="31"/>
      <c r="BC1292" s="31"/>
      <c r="BD1292" s="31"/>
      <c r="BE1292" s="31"/>
      <c r="BF1292" s="31"/>
      <c r="BG1292" s="31"/>
      <c r="BH1292" s="31"/>
      <c r="BI1292" s="31"/>
    </row>
    <row r="1293" spans="38:61" x14ac:dyDescent="0.2">
      <c r="AL1293" s="31"/>
      <c r="AM1293" s="31"/>
      <c r="AN1293" s="31"/>
      <c r="AO1293" s="31"/>
      <c r="AP1293" s="31"/>
      <c r="AQ1293" s="31"/>
      <c r="AR1293" s="31"/>
      <c r="AS1293" s="31"/>
      <c r="AT1293" s="31"/>
      <c r="AU1293" s="31"/>
      <c r="AV1293" s="31"/>
      <c r="AW1293" s="31"/>
      <c r="AX1293" s="31"/>
      <c r="AY1293" s="31"/>
      <c r="AZ1293" s="31"/>
      <c r="BA1293" s="31"/>
      <c r="BB1293" s="31"/>
      <c r="BC1293" s="31"/>
      <c r="BD1293" s="31"/>
      <c r="BE1293" s="31"/>
      <c r="BF1293" s="31"/>
      <c r="BG1293" s="31"/>
      <c r="BH1293" s="31"/>
      <c r="BI1293" s="31"/>
    </row>
    <row r="1294" spans="38:61" x14ac:dyDescent="0.2">
      <c r="AL1294" s="31"/>
      <c r="AM1294" s="31"/>
      <c r="AN1294" s="31"/>
      <c r="AO1294" s="31"/>
      <c r="AP1294" s="31"/>
      <c r="AQ1294" s="31"/>
      <c r="AR1294" s="31"/>
      <c r="AS1294" s="31"/>
      <c r="AT1294" s="31"/>
      <c r="AU1294" s="31"/>
      <c r="AV1294" s="31"/>
      <c r="AW1294" s="31"/>
      <c r="AX1294" s="31"/>
      <c r="AY1294" s="31"/>
      <c r="AZ1294" s="31"/>
      <c r="BA1294" s="31"/>
      <c r="BB1294" s="31"/>
      <c r="BC1294" s="31"/>
      <c r="BD1294" s="31"/>
      <c r="BE1294" s="31"/>
      <c r="BF1294" s="31"/>
      <c r="BG1294" s="31"/>
      <c r="BH1294" s="31"/>
      <c r="BI1294" s="31"/>
    </row>
    <row r="1295" spans="38:61" x14ac:dyDescent="0.2">
      <c r="AL1295" s="31"/>
      <c r="AM1295" s="31"/>
      <c r="AN1295" s="31"/>
      <c r="AO1295" s="31"/>
      <c r="AP1295" s="31"/>
      <c r="AQ1295" s="31"/>
      <c r="AR1295" s="31"/>
      <c r="AS1295" s="31"/>
      <c r="AT1295" s="31"/>
      <c r="AU1295" s="31"/>
      <c r="AV1295" s="31"/>
      <c r="AW1295" s="31"/>
      <c r="AX1295" s="31"/>
      <c r="AY1295" s="31"/>
      <c r="AZ1295" s="31"/>
      <c r="BA1295" s="31"/>
      <c r="BB1295" s="31"/>
      <c r="BC1295" s="31"/>
      <c r="BD1295" s="31"/>
      <c r="BE1295" s="31"/>
      <c r="BF1295" s="31"/>
      <c r="BG1295" s="31"/>
      <c r="BH1295" s="31"/>
      <c r="BI1295" s="31"/>
    </row>
    <row r="1296" spans="38:61" x14ac:dyDescent="0.2">
      <c r="AL1296" s="31"/>
      <c r="AM1296" s="31"/>
      <c r="AN1296" s="31"/>
      <c r="AO1296" s="31"/>
      <c r="AP1296" s="31"/>
      <c r="AQ1296" s="31"/>
      <c r="AR1296" s="31"/>
      <c r="AS1296" s="31"/>
      <c r="AT1296" s="31"/>
      <c r="AU1296" s="31"/>
      <c r="AV1296" s="31"/>
      <c r="AW1296" s="31"/>
      <c r="AX1296" s="31"/>
      <c r="AY1296" s="31"/>
      <c r="AZ1296" s="31"/>
      <c r="BA1296" s="31"/>
      <c r="BB1296" s="31"/>
      <c r="BC1296" s="31"/>
      <c r="BD1296" s="31"/>
      <c r="BE1296" s="31"/>
      <c r="BF1296" s="31"/>
      <c r="BG1296" s="31"/>
      <c r="BH1296" s="31"/>
      <c r="BI1296" s="31"/>
    </row>
    <row r="1297" spans="38:61" x14ac:dyDescent="0.2">
      <c r="AL1297" s="31"/>
      <c r="AM1297" s="31"/>
      <c r="AN1297" s="31"/>
      <c r="AO1297" s="31"/>
      <c r="AP1297" s="31"/>
      <c r="AQ1297" s="31"/>
      <c r="AR1297" s="31"/>
      <c r="AS1297" s="31"/>
      <c r="AT1297" s="31"/>
      <c r="AU1297" s="31"/>
      <c r="AV1297" s="31"/>
      <c r="AW1297" s="31"/>
      <c r="AX1297" s="31"/>
      <c r="AY1297" s="31"/>
      <c r="AZ1297" s="31"/>
      <c r="BA1297" s="31"/>
      <c r="BB1297" s="31"/>
      <c r="BC1297" s="31"/>
      <c r="BD1297" s="31"/>
      <c r="BE1297" s="31"/>
      <c r="BF1297" s="31"/>
      <c r="BG1297" s="31"/>
      <c r="BH1297" s="31"/>
      <c r="BI1297" s="31"/>
    </row>
    <row r="1298" spans="38:61" x14ac:dyDescent="0.2">
      <c r="AL1298" s="31"/>
      <c r="AM1298" s="31"/>
      <c r="AN1298" s="31"/>
      <c r="AO1298" s="31"/>
      <c r="AP1298" s="31"/>
      <c r="AQ1298" s="31"/>
      <c r="AR1298" s="31"/>
      <c r="AS1298" s="31"/>
      <c r="AT1298" s="31"/>
      <c r="AU1298" s="31"/>
      <c r="AV1298" s="31"/>
      <c r="AW1298" s="31"/>
      <c r="AX1298" s="31"/>
      <c r="AY1298" s="31"/>
      <c r="AZ1298" s="31"/>
      <c r="BA1298" s="31"/>
      <c r="BB1298" s="31"/>
      <c r="BC1298" s="31"/>
      <c r="BD1298" s="31"/>
      <c r="BE1298" s="31"/>
      <c r="BF1298" s="31"/>
      <c r="BG1298" s="31"/>
      <c r="BH1298" s="31"/>
      <c r="BI1298" s="31"/>
    </row>
    <row r="1299" spans="38:61" x14ac:dyDescent="0.2">
      <c r="AL1299" s="31"/>
      <c r="AM1299" s="31"/>
      <c r="AN1299" s="31"/>
      <c r="AO1299" s="31"/>
      <c r="AP1299" s="31"/>
      <c r="AQ1299" s="31"/>
      <c r="AR1299" s="31"/>
      <c r="AS1299" s="31"/>
      <c r="AT1299" s="31"/>
      <c r="AU1299" s="31"/>
      <c r="AV1299" s="31"/>
      <c r="AW1299" s="31"/>
      <c r="AX1299" s="31"/>
      <c r="AY1299" s="31"/>
      <c r="AZ1299" s="31"/>
      <c r="BA1299" s="31"/>
      <c r="BB1299" s="31"/>
      <c r="BC1299" s="31"/>
      <c r="BD1299" s="31"/>
      <c r="BE1299" s="31"/>
      <c r="BF1299" s="31"/>
      <c r="BG1299" s="31"/>
      <c r="BH1299" s="31"/>
      <c r="BI1299" s="31"/>
    </row>
    <row r="1300" spans="38:61" x14ac:dyDescent="0.2">
      <c r="AL1300" s="31"/>
      <c r="AM1300" s="31"/>
      <c r="AN1300" s="31"/>
      <c r="AO1300" s="31"/>
      <c r="AP1300" s="31"/>
      <c r="AQ1300" s="31"/>
      <c r="AR1300" s="31"/>
      <c r="AS1300" s="31"/>
      <c r="AT1300" s="31"/>
      <c r="AU1300" s="31"/>
      <c r="AV1300" s="31"/>
      <c r="AW1300" s="31"/>
      <c r="AX1300" s="31"/>
      <c r="AY1300" s="31"/>
      <c r="AZ1300" s="31"/>
      <c r="BA1300" s="31"/>
      <c r="BB1300" s="31"/>
      <c r="BC1300" s="31"/>
      <c r="BD1300" s="31"/>
      <c r="BE1300" s="31"/>
      <c r="BF1300" s="31"/>
      <c r="BG1300" s="31"/>
      <c r="BH1300" s="31"/>
      <c r="BI1300" s="31"/>
    </row>
    <row r="1301" spans="38:61" x14ac:dyDescent="0.2">
      <c r="AL1301" s="31"/>
      <c r="AM1301" s="31"/>
      <c r="AN1301" s="31"/>
      <c r="AO1301" s="31"/>
      <c r="AP1301" s="31"/>
      <c r="AQ1301" s="31"/>
      <c r="AR1301" s="31"/>
      <c r="AS1301" s="31"/>
      <c r="AT1301" s="31"/>
      <c r="AU1301" s="31"/>
      <c r="AV1301" s="31"/>
      <c r="AW1301" s="31"/>
      <c r="AX1301" s="31"/>
      <c r="AY1301" s="31"/>
      <c r="AZ1301" s="31"/>
      <c r="BA1301" s="31"/>
      <c r="BB1301" s="31"/>
      <c r="BC1301" s="31"/>
      <c r="BD1301" s="31"/>
      <c r="BE1301" s="31"/>
      <c r="BF1301" s="31"/>
      <c r="BG1301" s="31"/>
      <c r="BH1301" s="31"/>
      <c r="BI1301" s="31"/>
    </row>
    <row r="1302" spans="38:61" x14ac:dyDescent="0.2">
      <c r="AL1302" s="31"/>
      <c r="AM1302" s="31"/>
      <c r="AN1302" s="31"/>
      <c r="AO1302" s="31"/>
      <c r="AP1302" s="31"/>
      <c r="AQ1302" s="31"/>
      <c r="AR1302" s="31"/>
      <c r="AS1302" s="31"/>
      <c r="AT1302" s="31"/>
      <c r="AU1302" s="31"/>
      <c r="AV1302" s="31"/>
      <c r="AW1302" s="31"/>
      <c r="AX1302" s="31"/>
      <c r="AY1302" s="31"/>
      <c r="AZ1302" s="31"/>
      <c r="BA1302" s="31"/>
      <c r="BB1302" s="31"/>
      <c r="BC1302" s="31"/>
      <c r="BD1302" s="31"/>
      <c r="BE1302" s="31"/>
      <c r="BF1302" s="31"/>
      <c r="BG1302" s="31"/>
      <c r="BH1302" s="31"/>
      <c r="BI1302" s="31"/>
    </row>
    <row r="1303" spans="38:61" x14ac:dyDescent="0.2">
      <c r="AL1303" s="31"/>
      <c r="AM1303" s="31"/>
      <c r="AN1303" s="31"/>
      <c r="AO1303" s="31"/>
      <c r="AP1303" s="31"/>
      <c r="AQ1303" s="31"/>
      <c r="AR1303" s="31"/>
      <c r="AS1303" s="31"/>
      <c r="AT1303" s="31"/>
      <c r="AU1303" s="31"/>
      <c r="AV1303" s="31"/>
      <c r="AW1303" s="31"/>
      <c r="AX1303" s="31"/>
      <c r="AY1303" s="31"/>
      <c r="AZ1303" s="31"/>
      <c r="BA1303" s="31"/>
      <c r="BB1303" s="31"/>
      <c r="BC1303" s="31"/>
      <c r="BD1303" s="31"/>
      <c r="BE1303" s="31"/>
      <c r="BF1303" s="31"/>
      <c r="BG1303" s="31"/>
      <c r="BH1303" s="31"/>
      <c r="BI1303" s="31"/>
    </row>
    <row r="1304" spans="38:61" x14ac:dyDescent="0.2">
      <c r="AL1304" s="31"/>
      <c r="AM1304" s="31"/>
      <c r="AN1304" s="31"/>
      <c r="AO1304" s="31"/>
      <c r="AP1304" s="31"/>
      <c r="AQ1304" s="31"/>
      <c r="AR1304" s="31"/>
      <c r="AS1304" s="31"/>
      <c r="AT1304" s="31"/>
      <c r="AU1304" s="31"/>
      <c r="AV1304" s="31"/>
      <c r="AW1304" s="31"/>
      <c r="AX1304" s="31"/>
      <c r="AY1304" s="31"/>
      <c r="AZ1304" s="31"/>
      <c r="BA1304" s="31"/>
      <c r="BB1304" s="31"/>
      <c r="BC1304" s="31"/>
      <c r="BD1304" s="31"/>
      <c r="BE1304" s="31"/>
      <c r="BF1304" s="31"/>
      <c r="BG1304" s="31"/>
      <c r="BH1304" s="31"/>
      <c r="BI1304" s="31"/>
    </row>
    <row r="1305" spans="38:61" x14ac:dyDescent="0.2">
      <c r="AL1305" s="31"/>
      <c r="AM1305" s="31"/>
      <c r="AN1305" s="31"/>
      <c r="AO1305" s="31"/>
      <c r="AP1305" s="31"/>
      <c r="AQ1305" s="31"/>
      <c r="AR1305" s="31"/>
      <c r="AS1305" s="31"/>
      <c r="AT1305" s="31"/>
      <c r="AU1305" s="31"/>
      <c r="AV1305" s="31"/>
      <c r="AW1305" s="31"/>
      <c r="AX1305" s="31"/>
      <c r="AY1305" s="31"/>
      <c r="AZ1305" s="31"/>
      <c r="BA1305" s="31"/>
      <c r="BB1305" s="31"/>
      <c r="BC1305" s="31"/>
      <c r="BD1305" s="31"/>
      <c r="BE1305" s="31"/>
      <c r="BF1305" s="31"/>
      <c r="BG1305" s="31"/>
      <c r="BH1305" s="31"/>
      <c r="BI1305" s="31"/>
    </row>
    <row r="1306" spans="38:61" x14ac:dyDescent="0.2">
      <c r="AL1306" s="31"/>
      <c r="AM1306" s="31"/>
      <c r="AN1306" s="31"/>
      <c r="AO1306" s="31"/>
      <c r="AP1306" s="31"/>
      <c r="AQ1306" s="31"/>
      <c r="AR1306" s="31"/>
      <c r="AS1306" s="31"/>
      <c r="AT1306" s="31"/>
      <c r="AU1306" s="31"/>
      <c r="AV1306" s="31"/>
      <c r="AW1306" s="31"/>
      <c r="AX1306" s="31"/>
      <c r="AY1306" s="31"/>
      <c r="AZ1306" s="31"/>
      <c r="BA1306" s="31"/>
      <c r="BB1306" s="31"/>
      <c r="BC1306" s="31"/>
      <c r="BD1306" s="31"/>
      <c r="BE1306" s="31"/>
      <c r="BF1306" s="31"/>
      <c r="BG1306" s="31"/>
      <c r="BH1306" s="31"/>
      <c r="BI1306" s="31"/>
    </row>
    <row r="1307" spans="38:61" x14ac:dyDescent="0.2">
      <c r="AL1307" s="31"/>
      <c r="AM1307" s="31"/>
      <c r="AN1307" s="31"/>
      <c r="AO1307" s="31"/>
      <c r="AP1307" s="31"/>
      <c r="AQ1307" s="31"/>
      <c r="AR1307" s="31"/>
      <c r="AS1307" s="31"/>
      <c r="AT1307" s="31"/>
      <c r="AU1307" s="31"/>
      <c r="AV1307" s="31"/>
      <c r="AW1307" s="31"/>
      <c r="AX1307" s="31"/>
      <c r="AY1307" s="31"/>
      <c r="AZ1307" s="31"/>
      <c r="BA1307" s="31"/>
      <c r="BB1307" s="31"/>
      <c r="BC1307" s="31"/>
      <c r="BD1307" s="31"/>
      <c r="BE1307" s="31"/>
      <c r="BF1307" s="31"/>
      <c r="BG1307" s="31"/>
      <c r="BH1307" s="31"/>
      <c r="BI1307" s="31"/>
    </row>
    <row r="1308" spans="38:61" x14ac:dyDescent="0.2">
      <c r="AL1308" s="31"/>
      <c r="AM1308" s="31"/>
      <c r="AN1308" s="31"/>
      <c r="AO1308" s="31"/>
      <c r="AP1308" s="31"/>
      <c r="AQ1308" s="31"/>
      <c r="AR1308" s="31"/>
      <c r="AS1308" s="31"/>
      <c r="AT1308" s="31"/>
      <c r="AU1308" s="31"/>
      <c r="AV1308" s="31"/>
      <c r="AW1308" s="31"/>
      <c r="AX1308" s="31"/>
      <c r="AY1308" s="31"/>
      <c r="AZ1308" s="31"/>
      <c r="BA1308" s="31"/>
      <c r="BB1308" s="31"/>
      <c r="BC1308" s="31"/>
      <c r="BD1308" s="31"/>
      <c r="BE1308" s="31"/>
      <c r="BF1308" s="31"/>
      <c r="BG1308" s="31"/>
      <c r="BH1308" s="31"/>
      <c r="BI1308" s="31"/>
    </row>
    <row r="1309" spans="38:61" x14ac:dyDescent="0.2">
      <c r="AL1309" s="31"/>
      <c r="AM1309" s="31"/>
      <c r="AN1309" s="31"/>
      <c r="AO1309" s="31"/>
      <c r="AP1309" s="31"/>
      <c r="AQ1309" s="31"/>
      <c r="AR1309" s="31"/>
      <c r="AS1309" s="31"/>
      <c r="AT1309" s="31"/>
      <c r="AU1309" s="31"/>
      <c r="AV1309" s="31"/>
      <c r="AW1309" s="31"/>
      <c r="AX1309" s="31"/>
      <c r="AY1309" s="31"/>
      <c r="AZ1309" s="31"/>
      <c r="BA1309" s="31"/>
      <c r="BB1309" s="31"/>
      <c r="BC1309" s="31"/>
      <c r="BD1309" s="31"/>
      <c r="BE1309" s="31"/>
      <c r="BF1309" s="31"/>
      <c r="BG1309" s="31"/>
      <c r="BH1309" s="31"/>
      <c r="BI1309" s="31"/>
    </row>
    <row r="1310" spans="38:61" x14ac:dyDescent="0.2">
      <c r="AL1310" s="31"/>
      <c r="AM1310" s="31"/>
      <c r="AN1310" s="31"/>
      <c r="AO1310" s="31"/>
      <c r="AP1310" s="31"/>
      <c r="AQ1310" s="31"/>
      <c r="AR1310" s="31"/>
      <c r="AS1310" s="31"/>
      <c r="AT1310" s="31"/>
      <c r="AU1310" s="31"/>
      <c r="AV1310" s="31"/>
      <c r="AW1310" s="31"/>
      <c r="AX1310" s="31"/>
      <c r="AY1310" s="31"/>
      <c r="AZ1310" s="31"/>
      <c r="BA1310" s="31"/>
      <c r="BB1310" s="31"/>
      <c r="BC1310" s="31"/>
      <c r="BD1310" s="31"/>
      <c r="BE1310" s="31"/>
      <c r="BF1310" s="31"/>
      <c r="BG1310" s="31"/>
      <c r="BH1310" s="31"/>
      <c r="BI1310" s="31"/>
    </row>
    <row r="1311" spans="38:61" x14ac:dyDescent="0.2">
      <c r="AL1311" s="31"/>
      <c r="AM1311" s="31"/>
      <c r="AN1311" s="31"/>
      <c r="AO1311" s="31"/>
      <c r="AP1311" s="31"/>
      <c r="AQ1311" s="31"/>
      <c r="AR1311" s="31"/>
      <c r="AS1311" s="31"/>
      <c r="AT1311" s="31"/>
      <c r="AU1311" s="31"/>
      <c r="AV1311" s="31"/>
      <c r="AW1311" s="31"/>
      <c r="AX1311" s="31"/>
      <c r="AY1311" s="31"/>
      <c r="AZ1311" s="31"/>
      <c r="BA1311" s="31"/>
      <c r="BB1311" s="31"/>
      <c r="BC1311" s="31"/>
      <c r="BD1311" s="31"/>
      <c r="BE1311" s="31"/>
      <c r="BF1311" s="31"/>
      <c r="BG1311" s="31"/>
      <c r="BH1311" s="31"/>
      <c r="BI1311" s="31"/>
    </row>
    <row r="1312" spans="38:61" x14ac:dyDescent="0.2">
      <c r="AL1312" s="31"/>
      <c r="AM1312" s="31"/>
      <c r="AN1312" s="31"/>
      <c r="AO1312" s="31"/>
      <c r="AP1312" s="31"/>
      <c r="AQ1312" s="31"/>
      <c r="AR1312" s="31"/>
      <c r="AS1312" s="31"/>
      <c r="AT1312" s="31"/>
      <c r="AU1312" s="31"/>
      <c r="AV1312" s="31"/>
      <c r="AW1312" s="31"/>
      <c r="AX1312" s="31"/>
      <c r="AY1312" s="31"/>
      <c r="AZ1312" s="31"/>
      <c r="BA1312" s="31"/>
      <c r="BB1312" s="31"/>
      <c r="BC1312" s="31"/>
      <c r="BD1312" s="31"/>
      <c r="BE1312" s="31"/>
      <c r="BF1312" s="31"/>
      <c r="BG1312" s="31"/>
      <c r="BH1312" s="31"/>
      <c r="BI1312" s="31"/>
    </row>
    <row r="1313" spans="38:61" x14ac:dyDescent="0.2">
      <c r="AL1313" s="31"/>
      <c r="AM1313" s="31"/>
      <c r="AN1313" s="31"/>
      <c r="AO1313" s="31"/>
      <c r="AP1313" s="31"/>
      <c r="AQ1313" s="31"/>
      <c r="AR1313" s="31"/>
      <c r="AS1313" s="31"/>
      <c r="AT1313" s="31"/>
      <c r="AU1313" s="31"/>
      <c r="AV1313" s="31"/>
      <c r="AW1313" s="31"/>
      <c r="AX1313" s="31"/>
      <c r="AY1313" s="31"/>
      <c r="AZ1313" s="31"/>
      <c r="BA1313" s="31"/>
      <c r="BB1313" s="31"/>
      <c r="BC1313" s="31"/>
      <c r="BD1313" s="31"/>
      <c r="BE1313" s="31"/>
      <c r="BF1313" s="31"/>
      <c r="BG1313" s="31"/>
      <c r="BH1313" s="31"/>
      <c r="BI1313" s="31"/>
    </row>
    <row r="1314" spans="38:61" x14ac:dyDescent="0.2">
      <c r="AL1314" s="31"/>
      <c r="AM1314" s="31"/>
      <c r="AN1314" s="31"/>
      <c r="AO1314" s="31"/>
      <c r="AP1314" s="31"/>
      <c r="AQ1314" s="31"/>
      <c r="AR1314" s="31"/>
      <c r="AS1314" s="31"/>
      <c r="AT1314" s="31"/>
      <c r="AU1314" s="31"/>
      <c r="AV1314" s="31"/>
      <c r="AW1314" s="31"/>
      <c r="AX1314" s="31"/>
      <c r="AY1314" s="31"/>
      <c r="AZ1314" s="31"/>
      <c r="BA1314" s="31"/>
      <c r="BB1314" s="31"/>
      <c r="BC1314" s="31"/>
      <c r="BD1314" s="31"/>
      <c r="BE1314" s="31"/>
      <c r="BF1314" s="31"/>
      <c r="BG1314" s="31"/>
      <c r="BH1314" s="31"/>
      <c r="BI1314" s="31"/>
    </row>
    <row r="1315" spans="38:61" x14ac:dyDescent="0.2">
      <c r="AL1315" s="31"/>
      <c r="AM1315" s="31"/>
      <c r="AN1315" s="31"/>
      <c r="AO1315" s="31"/>
      <c r="AP1315" s="31"/>
      <c r="AQ1315" s="31"/>
      <c r="AR1315" s="31"/>
      <c r="AS1315" s="31"/>
      <c r="AT1315" s="31"/>
      <c r="AU1315" s="31"/>
      <c r="AV1315" s="31"/>
      <c r="AW1315" s="31"/>
      <c r="AX1315" s="31"/>
      <c r="AY1315" s="31"/>
      <c r="AZ1315" s="31"/>
      <c r="BA1315" s="31"/>
      <c r="BB1315" s="31"/>
      <c r="BC1315" s="31"/>
      <c r="BD1315" s="31"/>
      <c r="BE1315" s="31"/>
      <c r="BF1315" s="31"/>
      <c r="BG1315" s="31"/>
      <c r="BH1315" s="31"/>
      <c r="BI1315" s="31"/>
    </row>
    <row r="1316" spans="38:61" x14ac:dyDescent="0.2">
      <c r="AL1316" s="31"/>
      <c r="AM1316" s="31"/>
      <c r="AN1316" s="31"/>
      <c r="AO1316" s="31"/>
      <c r="AP1316" s="31"/>
      <c r="AQ1316" s="31"/>
      <c r="AR1316" s="31"/>
      <c r="AS1316" s="31"/>
      <c r="AT1316" s="31"/>
      <c r="AU1316" s="31"/>
      <c r="AV1316" s="31"/>
      <c r="AW1316" s="31"/>
      <c r="AX1316" s="31"/>
      <c r="AY1316" s="31"/>
      <c r="AZ1316" s="31"/>
      <c r="BA1316" s="31"/>
      <c r="BB1316" s="31"/>
      <c r="BC1316" s="31"/>
      <c r="BD1316" s="31"/>
      <c r="BE1316" s="31"/>
      <c r="BF1316" s="31"/>
      <c r="BG1316" s="31"/>
      <c r="BH1316" s="31"/>
      <c r="BI1316" s="31"/>
    </row>
    <row r="1317" spans="38:61" x14ac:dyDescent="0.2">
      <c r="AL1317" s="31"/>
      <c r="AM1317" s="31"/>
      <c r="AN1317" s="31"/>
      <c r="AO1317" s="31"/>
      <c r="AP1317" s="31"/>
      <c r="AQ1317" s="31"/>
      <c r="AR1317" s="31"/>
      <c r="AS1317" s="31"/>
      <c r="AT1317" s="31"/>
      <c r="AU1317" s="31"/>
      <c r="AV1317" s="31"/>
      <c r="AW1317" s="31"/>
      <c r="AX1317" s="31"/>
      <c r="AY1317" s="31"/>
      <c r="AZ1317" s="31"/>
      <c r="BA1317" s="31"/>
      <c r="BB1317" s="31"/>
      <c r="BC1317" s="31"/>
      <c r="BD1317" s="31"/>
      <c r="BE1317" s="31"/>
      <c r="BF1317" s="31"/>
      <c r="BG1317" s="31"/>
      <c r="BH1317" s="31"/>
      <c r="BI1317" s="31"/>
    </row>
    <row r="1318" spans="38:61" x14ac:dyDescent="0.2">
      <c r="AL1318" s="31"/>
      <c r="AM1318" s="31"/>
      <c r="AN1318" s="31"/>
      <c r="AO1318" s="31"/>
      <c r="AP1318" s="31"/>
      <c r="AQ1318" s="31"/>
      <c r="AR1318" s="31"/>
      <c r="AS1318" s="31"/>
      <c r="AT1318" s="31"/>
      <c r="AU1318" s="31"/>
      <c r="AV1318" s="31"/>
      <c r="AW1318" s="31"/>
      <c r="AX1318" s="31"/>
      <c r="AY1318" s="31"/>
      <c r="AZ1318" s="31"/>
      <c r="BA1318" s="31"/>
      <c r="BB1318" s="31"/>
      <c r="BC1318" s="31"/>
      <c r="BD1318" s="31"/>
      <c r="BE1318" s="31"/>
      <c r="BF1318" s="31"/>
      <c r="BG1318" s="31"/>
      <c r="BH1318" s="31"/>
      <c r="BI1318" s="31"/>
    </row>
    <row r="1319" spans="38:61" x14ac:dyDescent="0.2">
      <c r="AL1319" s="31"/>
      <c r="AM1319" s="31"/>
      <c r="AN1319" s="31"/>
      <c r="AO1319" s="31"/>
      <c r="AP1319" s="31"/>
      <c r="AQ1319" s="31"/>
      <c r="AR1319" s="31"/>
      <c r="AS1319" s="31"/>
      <c r="AT1319" s="31"/>
      <c r="AU1319" s="31"/>
      <c r="AV1319" s="31"/>
      <c r="AW1319" s="31"/>
      <c r="AX1319" s="31"/>
      <c r="AY1319" s="31"/>
      <c r="AZ1319" s="31"/>
      <c r="BA1319" s="31"/>
      <c r="BB1319" s="31"/>
      <c r="BC1319" s="31"/>
      <c r="BD1319" s="31"/>
      <c r="BE1319" s="31"/>
      <c r="BF1319" s="31"/>
      <c r="BG1319" s="31"/>
      <c r="BH1319" s="31"/>
      <c r="BI1319" s="31"/>
    </row>
    <row r="1320" spans="38:61" x14ac:dyDescent="0.2">
      <c r="AL1320" s="31"/>
      <c r="AM1320" s="31"/>
      <c r="AN1320" s="31"/>
      <c r="AO1320" s="31"/>
      <c r="AP1320" s="31"/>
      <c r="AQ1320" s="31"/>
      <c r="AR1320" s="31"/>
      <c r="AS1320" s="31"/>
      <c r="AT1320" s="31"/>
      <c r="AU1320" s="31"/>
      <c r="AV1320" s="31"/>
      <c r="AW1320" s="31"/>
      <c r="AX1320" s="31"/>
      <c r="AY1320" s="31"/>
      <c r="AZ1320" s="31"/>
      <c r="BA1320" s="31"/>
      <c r="BB1320" s="31"/>
      <c r="BC1320" s="31"/>
      <c r="BD1320" s="31"/>
      <c r="BE1320" s="31"/>
      <c r="BF1320" s="31"/>
      <c r="BG1320" s="31"/>
      <c r="BH1320" s="31"/>
      <c r="BI1320" s="31"/>
    </row>
    <row r="1321" spans="38:61" x14ac:dyDescent="0.2">
      <c r="AL1321" s="31"/>
      <c r="AM1321" s="31"/>
      <c r="AN1321" s="31"/>
      <c r="AO1321" s="31"/>
      <c r="AP1321" s="31"/>
      <c r="AQ1321" s="31"/>
      <c r="AR1321" s="31"/>
      <c r="AS1321" s="31"/>
      <c r="AT1321" s="31"/>
      <c r="AU1321" s="31"/>
      <c r="AV1321" s="31"/>
      <c r="AW1321" s="31"/>
      <c r="AX1321" s="31"/>
      <c r="AY1321" s="31"/>
      <c r="AZ1321" s="31"/>
      <c r="BA1321" s="31"/>
      <c r="BB1321" s="31"/>
      <c r="BC1321" s="31"/>
      <c r="BD1321" s="31"/>
      <c r="BE1321" s="31"/>
      <c r="BF1321" s="31"/>
      <c r="BG1321" s="31"/>
      <c r="BH1321" s="31"/>
      <c r="BI1321" s="31"/>
    </row>
    <row r="1322" spans="38:61" x14ac:dyDescent="0.2">
      <c r="AL1322" s="31"/>
      <c r="AM1322" s="31"/>
      <c r="AN1322" s="31"/>
      <c r="AO1322" s="31"/>
      <c r="AP1322" s="31"/>
      <c r="AQ1322" s="31"/>
      <c r="AR1322" s="31"/>
      <c r="AS1322" s="31"/>
      <c r="AT1322" s="31"/>
      <c r="AU1322" s="31"/>
      <c r="AV1322" s="31"/>
      <c r="AW1322" s="31"/>
      <c r="AX1322" s="31"/>
      <c r="AY1322" s="31"/>
      <c r="AZ1322" s="31"/>
      <c r="BA1322" s="31"/>
      <c r="BB1322" s="31"/>
      <c r="BC1322" s="31"/>
      <c r="BD1322" s="31"/>
      <c r="BE1322" s="31"/>
      <c r="BF1322" s="31"/>
      <c r="BG1322" s="31"/>
      <c r="BH1322" s="31"/>
      <c r="BI1322" s="31"/>
    </row>
    <row r="1323" spans="38:61" x14ac:dyDescent="0.2">
      <c r="AL1323" s="31"/>
      <c r="AM1323" s="31"/>
      <c r="AN1323" s="31"/>
      <c r="AO1323" s="31"/>
      <c r="AP1323" s="31"/>
      <c r="AQ1323" s="31"/>
      <c r="AR1323" s="31"/>
      <c r="AS1323" s="31"/>
      <c r="AT1323" s="31"/>
      <c r="AU1323" s="31"/>
      <c r="AV1323" s="31"/>
      <c r="AW1323" s="31"/>
      <c r="AX1323" s="31"/>
      <c r="AY1323" s="31"/>
      <c r="AZ1323" s="31"/>
      <c r="BA1323" s="31"/>
      <c r="BB1323" s="31"/>
      <c r="BC1323" s="31"/>
      <c r="BD1323" s="31"/>
      <c r="BE1323" s="31"/>
      <c r="BF1323" s="31"/>
      <c r="BG1323" s="31"/>
      <c r="BH1323" s="31"/>
      <c r="BI1323" s="31"/>
    </row>
    <row r="1324" spans="38:61" x14ac:dyDescent="0.2">
      <c r="AL1324" s="31"/>
      <c r="AM1324" s="31"/>
      <c r="AN1324" s="31"/>
      <c r="AO1324" s="31"/>
      <c r="AP1324" s="31"/>
      <c r="AQ1324" s="31"/>
      <c r="AR1324" s="31"/>
      <c r="AS1324" s="31"/>
      <c r="AT1324" s="31"/>
      <c r="AU1324" s="31"/>
      <c r="AV1324" s="31"/>
      <c r="AW1324" s="31"/>
      <c r="AX1324" s="31"/>
      <c r="AY1324" s="31"/>
      <c r="AZ1324" s="31"/>
      <c r="BA1324" s="31"/>
      <c r="BB1324" s="31"/>
      <c r="BC1324" s="31"/>
      <c r="BD1324" s="31"/>
      <c r="BE1324" s="31"/>
      <c r="BF1324" s="31"/>
      <c r="BG1324" s="31"/>
      <c r="BH1324" s="31"/>
      <c r="BI1324" s="31"/>
    </row>
    <row r="1325" spans="38:61" x14ac:dyDescent="0.2">
      <c r="AL1325" s="31"/>
      <c r="AM1325" s="31"/>
      <c r="AN1325" s="31"/>
      <c r="AO1325" s="31"/>
      <c r="AP1325" s="31"/>
      <c r="AQ1325" s="31"/>
      <c r="AR1325" s="31"/>
      <c r="AS1325" s="31"/>
      <c r="AT1325" s="31"/>
      <c r="AU1325" s="31"/>
      <c r="AV1325" s="31"/>
      <c r="AW1325" s="31"/>
      <c r="AX1325" s="31"/>
      <c r="AY1325" s="31"/>
      <c r="AZ1325" s="31"/>
      <c r="BA1325" s="31"/>
      <c r="BB1325" s="31"/>
      <c r="BC1325" s="31"/>
      <c r="BD1325" s="31"/>
      <c r="BE1325" s="31"/>
      <c r="BF1325" s="31"/>
      <c r="BG1325" s="31"/>
      <c r="BH1325" s="31"/>
      <c r="BI1325" s="31"/>
    </row>
    <row r="1326" spans="38:61" x14ac:dyDescent="0.2">
      <c r="AL1326" s="31"/>
      <c r="AM1326" s="31"/>
      <c r="AN1326" s="31"/>
      <c r="AO1326" s="31"/>
      <c r="AP1326" s="31"/>
      <c r="AQ1326" s="31"/>
      <c r="AR1326" s="31"/>
      <c r="AS1326" s="31"/>
      <c r="AT1326" s="31"/>
      <c r="AU1326" s="31"/>
      <c r="AV1326" s="31"/>
      <c r="AW1326" s="31"/>
      <c r="AX1326" s="31"/>
      <c r="AY1326" s="31"/>
      <c r="AZ1326" s="31"/>
      <c r="BA1326" s="31"/>
      <c r="BB1326" s="31"/>
      <c r="BC1326" s="31"/>
      <c r="BD1326" s="31"/>
      <c r="BE1326" s="31"/>
      <c r="BF1326" s="31"/>
      <c r="BG1326" s="31"/>
      <c r="BH1326" s="31"/>
      <c r="BI1326" s="31"/>
    </row>
    <row r="1327" spans="38:61" x14ac:dyDescent="0.2">
      <c r="AL1327" s="31"/>
      <c r="AM1327" s="31"/>
      <c r="AN1327" s="31"/>
      <c r="AO1327" s="31"/>
      <c r="AP1327" s="31"/>
      <c r="AQ1327" s="31"/>
      <c r="AR1327" s="31"/>
      <c r="AS1327" s="31"/>
      <c r="AT1327" s="31"/>
      <c r="AU1327" s="31"/>
      <c r="AV1327" s="31"/>
      <c r="AW1327" s="31"/>
      <c r="AX1327" s="31"/>
      <c r="AY1327" s="31"/>
      <c r="AZ1327" s="31"/>
      <c r="BA1327" s="31"/>
      <c r="BB1327" s="31"/>
      <c r="BC1327" s="31"/>
      <c r="BD1327" s="31"/>
      <c r="BE1327" s="31"/>
      <c r="BF1327" s="31"/>
      <c r="BG1327" s="31"/>
      <c r="BH1327" s="31"/>
      <c r="BI1327" s="31"/>
    </row>
    <row r="1328" spans="38:61" x14ac:dyDescent="0.2">
      <c r="AL1328" s="31"/>
      <c r="AM1328" s="31"/>
      <c r="AN1328" s="31"/>
      <c r="AO1328" s="31"/>
      <c r="AP1328" s="31"/>
      <c r="AQ1328" s="31"/>
      <c r="AR1328" s="31"/>
      <c r="AS1328" s="31"/>
      <c r="AT1328" s="31"/>
      <c r="AU1328" s="31"/>
      <c r="AV1328" s="31"/>
      <c r="AW1328" s="31"/>
      <c r="AX1328" s="31"/>
      <c r="AY1328" s="31"/>
      <c r="AZ1328" s="31"/>
      <c r="BA1328" s="31"/>
      <c r="BB1328" s="31"/>
      <c r="BC1328" s="31"/>
      <c r="BD1328" s="31"/>
      <c r="BE1328" s="31"/>
      <c r="BF1328" s="31"/>
      <c r="BG1328" s="31"/>
      <c r="BH1328" s="31"/>
      <c r="BI1328" s="31"/>
    </row>
    <row r="1329" spans="38:61" x14ac:dyDescent="0.2">
      <c r="AL1329" s="31"/>
      <c r="AM1329" s="31"/>
      <c r="AN1329" s="31"/>
      <c r="AO1329" s="31"/>
      <c r="AP1329" s="31"/>
      <c r="AQ1329" s="31"/>
      <c r="AR1329" s="31"/>
      <c r="AS1329" s="31"/>
      <c r="AT1329" s="31"/>
      <c r="AU1329" s="31"/>
      <c r="AV1329" s="31"/>
      <c r="AW1329" s="31"/>
      <c r="AX1329" s="31"/>
      <c r="AY1329" s="31"/>
      <c r="AZ1329" s="31"/>
      <c r="BA1329" s="31"/>
      <c r="BB1329" s="31"/>
      <c r="BC1329" s="31"/>
      <c r="BD1329" s="31"/>
      <c r="BE1329" s="31"/>
      <c r="BF1329" s="31"/>
      <c r="BG1329" s="31"/>
      <c r="BH1329" s="31"/>
      <c r="BI1329" s="31"/>
    </row>
    <row r="1330" spans="38:61" x14ac:dyDescent="0.2">
      <c r="AL1330" s="31"/>
      <c r="AM1330" s="31"/>
      <c r="AN1330" s="31"/>
      <c r="AO1330" s="31"/>
      <c r="AP1330" s="31"/>
      <c r="AQ1330" s="31"/>
      <c r="AR1330" s="31"/>
      <c r="AS1330" s="31"/>
      <c r="AT1330" s="31"/>
      <c r="AU1330" s="31"/>
      <c r="AV1330" s="31"/>
      <c r="AW1330" s="31"/>
      <c r="AX1330" s="31"/>
      <c r="AY1330" s="31"/>
      <c r="AZ1330" s="31"/>
      <c r="BA1330" s="31"/>
      <c r="BB1330" s="31"/>
      <c r="BC1330" s="31"/>
      <c r="BD1330" s="31"/>
      <c r="BE1330" s="31"/>
      <c r="BF1330" s="31"/>
      <c r="BG1330" s="31"/>
      <c r="BH1330" s="31"/>
      <c r="BI1330" s="31"/>
    </row>
    <row r="1331" spans="38:61" x14ac:dyDescent="0.2">
      <c r="AL1331" s="31"/>
      <c r="AM1331" s="31"/>
      <c r="AN1331" s="31"/>
      <c r="AO1331" s="31"/>
      <c r="AP1331" s="31"/>
      <c r="AQ1331" s="31"/>
      <c r="AR1331" s="31"/>
      <c r="AS1331" s="31"/>
      <c r="AT1331" s="31"/>
      <c r="AU1331" s="31"/>
      <c r="AV1331" s="31"/>
      <c r="AW1331" s="31"/>
      <c r="AX1331" s="31"/>
      <c r="AY1331" s="31"/>
      <c r="AZ1331" s="31"/>
      <c r="BA1331" s="31"/>
      <c r="BB1331" s="31"/>
      <c r="BC1331" s="31"/>
      <c r="BD1331" s="31"/>
      <c r="BE1331" s="31"/>
      <c r="BF1331" s="31"/>
      <c r="BG1331" s="31"/>
      <c r="BH1331" s="31"/>
      <c r="BI1331" s="31"/>
    </row>
    <row r="1332" spans="38:61" x14ac:dyDescent="0.2">
      <c r="AL1332" s="31"/>
      <c r="AM1332" s="31"/>
      <c r="AN1332" s="31"/>
      <c r="AO1332" s="31"/>
      <c r="AP1332" s="31"/>
      <c r="AQ1332" s="31"/>
      <c r="AR1332" s="31"/>
      <c r="AS1332" s="31"/>
      <c r="AT1332" s="31"/>
      <c r="AU1332" s="31"/>
      <c r="AV1332" s="31"/>
      <c r="AW1332" s="31"/>
      <c r="AX1332" s="31"/>
      <c r="AY1332" s="31"/>
      <c r="AZ1332" s="31"/>
      <c r="BA1332" s="31"/>
      <c r="BB1332" s="31"/>
      <c r="BC1332" s="31"/>
      <c r="BD1332" s="31"/>
      <c r="BE1332" s="31"/>
      <c r="BF1332" s="31"/>
      <c r="BG1332" s="31"/>
      <c r="BH1332" s="31"/>
      <c r="BI1332" s="31"/>
    </row>
    <row r="1333" spans="38:61" x14ac:dyDescent="0.2">
      <c r="AL1333" s="31"/>
      <c r="AM1333" s="31"/>
      <c r="AN1333" s="31"/>
      <c r="AO1333" s="31"/>
      <c r="AP1333" s="31"/>
      <c r="AQ1333" s="31"/>
      <c r="AR1333" s="31"/>
      <c r="AS1333" s="31"/>
      <c r="AT1333" s="31"/>
      <c r="AU1333" s="31"/>
      <c r="AV1333" s="31"/>
      <c r="AW1333" s="31"/>
      <c r="AX1333" s="31"/>
      <c r="AY1333" s="31"/>
      <c r="AZ1333" s="31"/>
      <c r="BA1333" s="31"/>
      <c r="BB1333" s="31"/>
      <c r="BC1333" s="31"/>
      <c r="BD1333" s="31"/>
      <c r="BE1333" s="31"/>
      <c r="BF1333" s="31"/>
      <c r="BG1333" s="31"/>
      <c r="BH1333" s="31"/>
      <c r="BI1333" s="31"/>
    </row>
    <row r="1334" spans="38:61" x14ac:dyDescent="0.2">
      <c r="AL1334" s="31"/>
      <c r="AM1334" s="31"/>
      <c r="AN1334" s="31"/>
      <c r="AO1334" s="31"/>
      <c r="AP1334" s="31"/>
      <c r="AQ1334" s="31"/>
      <c r="AR1334" s="31"/>
      <c r="AS1334" s="31"/>
      <c r="AT1334" s="31"/>
      <c r="AU1334" s="31"/>
      <c r="AV1334" s="31"/>
      <c r="AW1334" s="31"/>
      <c r="AX1334" s="31"/>
      <c r="AY1334" s="31"/>
      <c r="AZ1334" s="31"/>
      <c r="BA1334" s="31"/>
      <c r="BB1334" s="31"/>
      <c r="BC1334" s="31"/>
      <c r="BD1334" s="31"/>
      <c r="BE1334" s="31"/>
      <c r="BF1334" s="31"/>
      <c r="BG1334" s="31"/>
      <c r="BH1334" s="31"/>
      <c r="BI1334" s="31"/>
    </row>
    <row r="1335" spans="38:61" x14ac:dyDescent="0.2">
      <c r="AL1335" s="31"/>
      <c r="AM1335" s="31"/>
      <c r="AN1335" s="31"/>
      <c r="AO1335" s="31"/>
      <c r="AP1335" s="31"/>
      <c r="AQ1335" s="31"/>
      <c r="AR1335" s="31"/>
      <c r="AS1335" s="31"/>
      <c r="AT1335" s="31"/>
      <c r="AU1335" s="31"/>
      <c r="AV1335" s="31"/>
      <c r="AW1335" s="31"/>
      <c r="AX1335" s="31"/>
      <c r="AY1335" s="31"/>
      <c r="AZ1335" s="31"/>
      <c r="BA1335" s="31"/>
      <c r="BB1335" s="31"/>
      <c r="BC1335" s="31"/>
      <c r="BD1335" s="31"/>
      <c r="BE1335" s="31"/>
      <c r="BF1335" s="31"/>
      <c r="BG1335" s="31"/>
      <c r="BH1335" s="31"/>
      <c r="BI1335" s="31"/>
    </row>
    <row r="1336" spans="38:61" x14ac:dyDescent="0.2">
      <c r="AL1336" s="31"/>
      <c r="AM1336" s="31"/>
      <c r="AN1336" s="31"/>
      <c r="AO1336" s="31"/>
      <c r="AP1336" s="31"/>
      <c r="AQ1336" s="31"/>
      <c r="AR1336" s="31"/>
      <c r="AS1336" s="31"/>
      <c r="AT1336" s="31"/>
      <c r="AU1336" s="31"/>
      <c r="AV1336" s="31"/>
      <c r="AW1336" s="31"/>
      <c r="AX1336" s="31"/>
      <c r="AY1336" s="31"/>
      <c r="AZ1336" s="31"/>
      <c r="BA1336" s="31"/>
      <c r="BB1336" s="31"/>
      <c r="BC1336" s="31"/>
      <c r="BD1336" s="31"/>
      <c r="BE1336" s="31"/>
      <c r="BF1336" s="31"/>
      <c r="BG1336" s="31"/>
      <c r="BH1336" s="31"/>
      <c r="BI1336" s="31"/>
    </row>
    <row r="1337" spans="38:61" x14ac:dyDescent="0.2">
      <c r="AL1337" s="31"/>
      <c r="AM1337" s="31"/>
      <c r="AN1337" s="31"/>
      <c r="AO1337" s="31"/>
      <c r="AP1337" s="31"/>
      <c r="AQ1337" s="31"/>
      <c r="AR1337" s="31"/>
      <c r="AS1337" s="31"/>
      <c r="AT1337" s="31"/>
      <c r="AU1337" s="31"/>
      <c r="AV1337" s="31"/>
      <c r="AW1337" s="31"/>
      <c r="AX1337" s="31"/>
      <c r="AY1337" s="31"/>
      <c r="AZ1337" s="31"/>
      <c r="BA1337" s="31"/>
      <c r="BB1337" s="31"/>
      <c r="BC1337" s="31"/>
      <c r="BD1337" s="31"/>
      <c r="BE1337" s="31"/>
      <c r="BF1337" s="31"/>
      <c r="BG1337" s="31"/>
      <c r="BH1337" s="31"/>
      <c r="BI1337" s="31"/>
    </row>
    <row r="1338" spans="38:61" x14ac:dyDescent="0.2">
      <c r="AL1338" s="31"/>
      <c r="AM1338" s="31"/>
      <c r="AN1338" s="31"/>
      <c r="AO1338" s="31"/>
      <c r="AP1338" s="31"/>
      <c r="AQ1338" s="31"/>
      <c r="AR1338" s="31"/>
      <c r="AS1338" s="31"/>
      <c r="AT1338" s="31"/>
      <c r="AU1338" s="31"/>
      <c r="AV1338" s="31"/>
      <c r="AW1338" s="31"/>
      <c r="AX1338" s="31"/>
      <c r="AY1338" s="31"/>
      <c r="AZ1338" s="31"/>
      <c r="BA1338" s="31"/>
      <c r="BB1338" s="31"/>
      <c r="BC1338" s="31"/>
      <c r="BD1338" s="31"/>
      <c r="BE1338" s="31"/>
      <c r="BF1338" s="31"/>
      <c r="BG1338" s="31"/>
      <c r="BH1338" s="31"/>
      <c r="BI1338" s="31"/>
    </row>
    <row r="1339" spans="38:61" x14ac:dyDescent="0.2">
      <c r="AL1339" s="31"/>
      <c r="AM1339" s="31"/>
      <c r="AN1339" s="31"/>
      <c r="AO1339" s="31"/>
      <c r="AP1339" s="31"/>
      <c r="AQ1339" s="31"/>
      <c r="AR1339" s="31"/>
      <c r="AS1339" s="31"/>
      <c r="AT1339" s="31"/>
      <c r="AU1339" s="31"/>
      <c r="AV1339" s="31"/>
      <c r="AW1339" s="31"/>
      <c r="AX1339" s="31"/>
      <c r="AY1339" s="31"/>
      <c r="AZ1339" s="31"/>
      <c r="BA1339" s="31"/>
      <c r="BB1339" s="31"/>
      <c r="BC1339" s="31"/>
      <c r="BD1339" s="31"/>
      <c r="BE1339" s="31"/>
      <c r="BF1339" s="31"/>
      <c r="BG1339" s="31"/>
      <c r="BH1339" s="31"/>
      <c r="BI1339" s="31"/>
    </row>
    <row r="1340" spans="38:61" x14ac:dyDescent="0.2">
      <c r="AL1340" s="31"/>
      <c r="AM1340" s="31"/>
      <c r="AN1340" s="31"/>
      <c r="AO1340" s="31"/>
      <c r="AP1340" s="31"/>
      <c r="AQ1340" s="31"/>
      <c r="AR1340" s="31"/>
      <c r="AS1340" s="31"/>
      <c r="AT1340" s="31"/>
      <c r="AU1340" s="31"/>
      <c r="AV1340" s="31"/>
      <c r="AW1340" s="31"/>
      <c r="AX1340" s="31"/>
      <c r="AY1340" s="31"/>
      <c r="AZ1340" s="31"/>
      <c r="BA1340" s="31"/>
      <c r="BB1340" s="31"/>
      <c r="BC1340" s="31"/>
      <c r="BD1340" s="31"/>
      <c r="BE1340" s="31"/>
      <c r="BF1340" s="31"/>
      <c r="BG1340" s="31"/>
      <c r="BH1340" s="31"/>
      <c r="BI1340" s="31"/>
    </row>
    <row r="1341" spans="38:61" x14ac:dyDescent="0.2">
      <c r="AL1341" s="31"/>
      <c r="AM1341" s="31"/>
      <c r="AN1341" s="31"/>
      <c r="AO1341" s="31"/>
      <c r="AP1341" s="31"/>
      <c r="AQ1341" s="31"/>
      <c r="AR1341" s="31"/>
      <c r="AS1341" s="31"/>
      <c r="AT1341" s="31"/>
      <c r="AU1341" s="31"/>
      <c r="AV1341" s="31"/>
      <c r="AW1341" s="31"/>
      <c r="AX1341" s="31"/>
      <c r="AY1341" s="31"/>
      <c r="AZ1341" s="31"/>
      <c r="BA1341" s="31"/>
      <c r="BB1341" s="31"/>
      <c r="BC1341" s="31"/>
      <c r="BD1341" s="31"/>
      <c r="BE1341" s="31"/>
      <c r="BF1341" s="31"/>
      <c r="BG1341" s="31"/>
      <c r="BH1341" s="31"/>
      <c r="BI1341" s="31"/>
    </row>
    <row r="1342" spans="38:61" x14ac:dyDescent="0.2">
      <c r="AL1342" s="31"/>
      <c r="AM1342" s="31"/>
      <c r="AN1342" s="31"/>
      <c r="AO1342" s="31"/>
      <c r="AP1342" s="31"/>
      <c r="AQ1342" s="31"/>
      <c r="AR1342" s="31"/>
      <c r="AS1342" s="31"/>
      <c r="AT1342" s="31"/>
      <c r="AU1342" s="31"/>
      <c r="AV1342" s="31"/>
      <c r="AW1342" s="31"/>
      <c r="AX1342" s="31"/>
      <c r="AY1342" s="31"/>
      <c r="AZ1342" s="31"/>
      <c r="BA1342" s="31"/>
      <c r="BB1342" s="31"/>
      <c r="BC1342" s="31"/>
      <c r="BD1342" s="31"/>
      <c r="BE1342" s="31"/>
      <c r="BF1342" s="31"/>
      <c r="BG1342" s="31"/>
      <c r="BH1342" s="31"/>
      <c r="BI1342" s="31"/>
    </row>
    <row r="1343" spans="38:61" x14ac:dyDescent="0.2">
      <c r="AL1343" s="31"/>
      <c r="AM1343" s="31"/>
      <c r="AN1343" s="31"/>
      <c r="AO1343" s="31"/>
      <c r="AP1343" s="31"/>
      <c r="AQ1343" s="31"/>
      <c r="AR1343" s="31"/>
      <c r="AS1343" s="31"/>
      <c r="AT1343" s="31"/>
      <c r="AU1343" s="31"/>
      <c r="AV1343" s="31"/>
      <c r="AW1343" s="31"/>
      <c r="AX1343" s="31"/>
      <c r="AY1343" s="31"/>
      <c r="AZ1343" s="31"/>
      <c r="BA1343" s="31"/>
      <c r="BB1343" s="31"/>
      <c r="BC1343" s="31"/>
      <c r="BD1343" s="31"/>
      <c r="BE1343" s="31"/>
      <c r="BF1343" s="31"/>
      <c r="BG1343" s="31"/>
      <c r="BH1343" s="31"/>
      <c r="BI1343" s="31"/>
    </row>
    <row r="1344" spans="38:61" x14ac:dyDescent="0.2">
      <c r="AL1344" s="31"/>
      <c r="AM1344" s="31"/>
      <c r="AN1344" s="31"/>
      <c r="AO1344" s="31"/>
      <c r="AP1344" s="31"/>
      <c r="AQ1344" s="31"/>
      <c r="AR1344" s="31"/>
      <c r="AS1344" s="31"/>
      <c r="AT1344" s="31"/>
      <c r="AU1344" s="31"/>
      <c r="AV1344" s="31"/>
      <c r="AW1344" s="31"/>
      <c r="AX1344" s="31"/>
      <c r="AY1344" s="31"/>
      <c r="AZ1344" s="31"/>
      <c r="BA1344" s="31"/>
      <c r="BB1344" s="31"/>
      <c r="BC1344" s="31"/>
      <c r="BD1344" s="31"/>
      <c r="BE1344" s="31"/>
      <c r="BF1344" s="31"/>
      <c r="BG1344" s="31"/>
      <c r="BH1344" s="31"/>
      <c r="BI1344" s="31"/>
    </row>
    <row r="1345" spans="38:61" x14ac:dyDescent="0.2">
      <c r="AL1345" s="31"/>
      <c r="AM1345" s="31"/>
      <c r="AN1345" s="31"/>
      <c r="AO1345" s="31"/>
      <c r="AP1345" s="31"/>
      <c r="AQ1345" s="31"/>
      <c r="AR1345" s="31"/>
      <c r="AS1345" s="31"/>
      <c r="AT1345" s="31"/>
      <c r="AU1345" s="31"/>
      <c r="AV1345" s="31"/>
      <c r="AW1345" s="31"/>
      <c r="AX1345" s="31"/>
      <c r="AY1345" s="31"/>
      <c r="AZ1345" s="31"/>
      <c r="BA1345" s="31"/>
      <c r="BB1345" s="31"/>
      <c r="BC1345" s="31"/>
      <c r="BD1345" s="31"/>
      <c r="BE1345" s="31"/>
      <c r="BF1345" s="31"/>
      <c r="BG1345" s="31"/>
      <c r="BH1345" s="31"/>
      <c r="BI1345" s="31"/>
    </row>
    <row r="1346" spans="38:61" x14ac:dyDescent="0.2">
      <c r="AL1346" s="31"/>
      <c r="AM1346" s="31"/>
      <c r="AN1346" s="31"/>
      <c r="AO1346" s="31"/>
      <c r="AP1346" s="31"/>
      <c r="AQ1346" s="31"/>
      <c r="AR1346" s="31"/>
      <c r="AS1346" s="31"/>
      <c r="AT1346" s="31"/>
      <c r="AU1346" s="31"/>
      <c r="AV1346" s="31"/>
      <c r="AW1346" s="31"/>
      <c r="AX1346" s="31"/>
      <c r="AY1346" s="31"/>
      <c r="AZ1346" s="31"/>
      <c r="BA1346" s="31"/>
      <c r="BB1346" s="31"/>
      <c r="BC1346" s="31"/>
      <c r="BD1346" s="31"/>
      <c r="BE1346" s="31"/>
      <c r="BF1346" s="31"/>
      <c r="BG1346" s="31"/>
      <c r="BH1346" s="31"/>
      <c r="BI1346" s="31"/>
    </row>
    <row r="1347" spans="38:61" x14ac:dyDescent="0.2">
      <c r="AL1347" s="31"/>
      <c r="AM1347" s="31"/>
      <c r="AN1347" s="31"/>
      <c r="AO1347" s="31"/>
      <c r="AP1347" s="31"/>
      <c r="AQ1347" s="31"/>
      <c r="AR1347" s="31"/>
      <c r="AS1347" s="31"/>
      <c r="AT1347" s="31"/>
      <c r="AU1347" s="31"/>
      <c r="AV1347" s="31"/>
      <c r="AW1347" s="31"/>
      <c r="AX1347" s="31"/>
      <c r="AY1347" s="31"/>
      <c r="AZ1347" s="31"/>
      <c r="BA1347" s="31"/>
      <c r="BB1347" s="31"/>
      <c r="BC1347" s="31"/>
      <c r="BD1347" s="31"/>
      <c r="BE1347" s="31"/>
      <c r="BF1347" s="31"/>
      <c r="BG1347" s="31"/>
      <c r="BH1347" s="31"/>
      <c r="BI1347" s="31"/>
    </row>
    <row r="1348" spans="38:61" x14ac:dyDescent="0.2">
      <c r="AL1348" s="31"/>
      <c r="AM1348" s="31"/>
      <c r="AN1348" s="31"/>
      <c r="AO1348" s="31"/>
      <c r="AP1348" s="31"/>
      <c r="AQ1348" s="31"/>
      <c r="AR1348" s="31"/>
      <c r="AS1348" s="31"/>
      <c r="AT1348" s="31"/>
      <c r="AU1348" s="31"/>
      <c r="AV1348" s="31"/>
      <c r="AW1348" s="31"/>
      <c r="AX1348" s="31"/>
      <c r="AY1348" s="31"/>
      <c r="AZ1348" s="31"/>
      <c r="BA1348" s="31"/>
      <c r="BB1348" s="31"/>
      <c r="BC1348" s="31"/>
      <c r="BD1348" s="31"/>
      <c r="BE1348" s="31"/>
      <c r="BF1348" s="31"/>
      <c r="BG1348" s="31"/>
      <c r="BH1348" s="31"/>
      <c r="BI1348" s="31"/>
    </row>
    <row r="1349" spans="38:61" x14ac:dyDescent="0.2">
      <c r="AL1349" s="31"/>
      <c r="AM1349" s="31"/>
      <c r="AN1349" s="31"/>
      <c r="AO1349" s="31"/>
      <c r="AP1349" s="31"/>
      <c r="AQ1349" s="31"/>
      <c r="AR1349" s="31"/>
      <c r="AS1349" s="31"/>
      <c r="AT1349" s="31"/>
      <c r="AU1349" s="31"/>
      <c r="AV1349" s="31"/>
      <c r="AW1349" s="31"/>
      <c r="AX1349" s="31"/>
      <c r="AY1349" s="31"/>
      <c r="AZ1349" s="31"/>
      <c r="BA1349" s="31"/>
      <c r="BB1349" s="31"/>
      <c r="BC1349" s="31"/>
      <c r="BD1349" s="31"/>
      <c r="BE1349" s="31"/>
      <c r="BF1349" s="31"/>
      <c r="BG1349" s="31"/>
      <c r="BH1349" s="31"/>
      <c r="BI1349" s="31"/>
    </row>
    <row r="1350" spans="38:61" x14ac:dyDescent="0.2">
      <c r="AL1350" s="31"/>
      <c r="AM1350" s="31"/>
      <c r="AN1350" s="31"/>
      <c r="AO1350" s="31"/>
      <c r="AP1350" s="31"/>
      <c r="AQ1350" s="31"/>
      <c r="AR1350" s="31"/>
      <c r="AS1350" s="31"/>
      <c r="AT1350" s="31"/>
      <c r="AU1350" s="31"/>
      <c r="AV1350" s="31"/>
      <c r="AW1350" s="31"/>
      <c r="AX1350" s="31"/>
      <c r="AY1350" s="31"/>
      <c r="AZ1350" s="31"/>
      <c r="BA1350" s="31"/>
      <c r="BB1350" s="31"/>
      <c r="BC1350" s="31"/>
      <c r="BD1350" s="31"/>
      <c r="BE1350" s="31"/>
      <c r="BF1350" s="31"/>
      <c r="BG1350" s="31"/>
      <c r="BH1350" s="31"/>
      <c r="BI1350" s="31"/>
    </row>
    <row r="1351" spans="38:61" x14ac:dyDescent="0.2">
      <c r="AL1351" s="31"/>
      <c r="AM1351" s="31"/>
      <c r="AN1351" s="31"/>
      <c r="AO1351" s="31"/>
      <c r="AP1351" s="31"/>
      <c r="AQ1351" s="31"/>
      <c r="AR1351" s="31"/>
      <c r="AS1351" s="31"/>
      <c r="AT1351" s="31"/>
      <c r="AU1351" s="31"/>
      <c r="AV1351" s="31"/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31"/>
      <c r="BH1351" s="31"/>
      <c r="BI1351" s="31"/>
    </row>
    <row r="1352" spans="38:61" x14ac:dyDescent="0.2">
      <c r="AL1352" s="31"/>
      <c r="AM1352" s="31"/>
      <c r="AN1352" s="31"/>
      <c r="AO1352" s="31"/>
      <c r="AP1352" s="31"/>
      <c r="AQ1352" s="31"/>
      <c r="AR1352" s="31"/>
      <c r="AS1352" s="31"/>
      <c r="AT1352" s="31"/>
      <c r="AU1352" s="31"/>
      <c r="AV1352" s="31"/>
      <c r="AW1352" s="31"/>
      <c r="AX1352" s="31"/>
      <c r="AY1352" s="31"/>
      <c r="AZ1352" s="31"/>
      <c r="BA1352" s="31"/>
      <c r="BB1352" s="31"/>
      <c r="BC1352" s="31"/>
      <c r="BD1352" s="31"/>
      <c r="BE1352" s="31"/>
      <c r="BF1352" s="31"/>
      <c r="BG1352" s="31"/>
      <c r="BH1352" s="31"/>
      <c r="BI1352" s="31"/>
    </row>
    <row r="1353" spans="38:61" x14ac:dyDescent="0.2">
      <c r="AL1353" s="31"/>
      <c r="AM1353" s="31"/>
      <c r="AN1353" s="31"/>
      <c r="AO1353" s="31"/>
      <c r="AP1353" s="31"/>
      <c r="AQ1353" s="31"/>
      <c r="AR1353" s="31"/>
      <c r="AS1353" s="31"/>
      <c r="AT1353" s="31"/>
      <c r="AU1353" s="31"/>
      <c r="AV1353" s="31"/>
      <c r="AW1353" s="31"/>
      <c r="AX1353" s="31"/>
      <c r="AY1353" s="31"/>
      <c r="AZ1353" s="31"/>
      <c r="BA1353" s="31"/>
      <c r="BB1353" s="31"/>
      <c r="BC1353" s="31"/>
      <c r="BD1353" s="31"/>
      <c r="BE1353" s="31"/>
      <c r="BF1353" s="31"/>
      <c r="BG1353" s="31"/>
      <c r="BH1353" s="31"/>
      <c r="BI1353" s="31"/>
    </row>
    <row r="1354" spans="38:61" x14ac:dyDescent="0.2">
      <c r="AL1354" s="31"/>
      <c r="AM1354" s="31"/>
      <c r="AN1354" s="31"/>
      <c r="AO1354" s="31"/>
      <c r="AP1354" s="31"/>
      <c r="AQ1354" s="31"/>
      <c r="AR1354" s="31"/>
      <c r="AS1354" s="31"/>
      <c r="AT1354" s="31"/>
      <c r="AU1354" s="31"/>
      <c r="AV1354" s="31"/>
      <c r="AW1354" s="31"/>
      <c r="AX1354" s="31"/>
      <c r="AY1354" s="31"/>
      <c r="AZ1354" s="31"/>
      <c r="BA1354" s="31"/>
      <c r="BB1354" s="31"/>
      <c r="BC1354" s="31"/>
      <c r="BD1354" s="31"/>
      <c r="BE1354" s="31"/>
      <c r="BF1354" s="31"/>
      <c r="BG1354" s="31"/>
      <c r="BH1354" s="31"/>
      <c r="BI1354" s="31"/>
    </row>
    <row r="1355" spans="38:61" x14ac:dyDescent="0.2">
      <c r="AL1355" s="31"/>
      <c r="AM1355" s="31"/>
      <c r="AN1355" s="31"/>
      <c r="AO1355" s="31"/>
      <c r="AP1355" s="31"/>
      <c r="AQ1355" s="31"/>
      <c r="AR1355" s="31"/>
      <c r="AS1355" s="31"/>
      <c r="AT1355" s="31"/>
      <c r="AU1355" s="31"/>
      <c r="AV1355" s="31"/>
      <c r="AW1355" s="31"/>
      <c r="AX1355" s="31"/>
      <c r="AY1355" s="31"/>
      <c r="AZ1355" s="31"/>
      <c r="BA1355" s="31"/>
      <c r="BB1355" s="31"/>
      <c r="BC1355" s="31"/>
      <c r="BD1355" s="31"/>
      <c r="BE1355" s="31"/>
      <c r="BF1355" s="31"/>
      <c r="BG1355" s="31"/>
      <c r="BH1355" s="31"/>
      <c r="BI1355" s="31"/>
    </row>
    <row r="1356" spans="38:61" x14ac:dyDescent="0.2">
      <c r="AL1356" s="31"/>
      <c r="AM1356" s="31"/>
      <c r="AN1356" s="31"/>
      <c r="AO1356" s="31"/>
      <c r="AP1356" s="31"/>
      <c r="AQ1356" s="31"/>
      <c r="AR1356" s="31"/>
      <c r="AS1356" s="31"/>
      <c r="AT1356" s="31"/>
      <c r="AU1356" s="31"/>
      <c r="AV1356" s="31"/>
      <c r="AW1356" s="31"/>
      <c r="AX1356" s="31"/>
      <c r="AY1356" s="31"/>
      <c r="AZ1356" s="31"/>
      <c r="BA1356" s="31"/>
      <c r="BB1356" s="31"/>
      <c r="BC1356" s="31"/>
      <c r="BD1356" s="31"/>
      <c r="BE1356" s="31"/>
      <c r="BF1356" s="31"/>
      <c r="BG1356" s="31"/>
      <c r="BH1356" s="31"/>
      <c r="BI1356" s="31"/>
    </row>
    <row r="1357" spans="38:61" x14ac:dyDescent="0.2">
      <c r="AL1357" s="31"/>
      <c r="AM1357" s="31"/>
      <c r="AN1357" s="31"/>
      <c r="AO1357" s="31"/>
      <c r="AP1357" s="31"/>
      <c r="AQ1357" s="31"/>
      <c r="AR1357" s="31"/>
      <c r="AS1357" s="31"/>
      <c r="AT1357" s="31"/>
      <c r="AU1357" s="31"/>
      <c r="AV1357" s="31"/>
      <c r="AW1357" s="31"/>
      <c r="AX1357" s="31"/>
      <c r="AY1357" s="31"/>
      <c r="AZ1357" s="31"/>
      <c r="BA1357" s="31"/>
      <c r="BB1357" s="31"/>
      <c r="BC1357" s="31"/>
      <c r="BD1357" s="31"/>
      <c r="BE1357" s="31"/>
      <c r="BF1357" s="31"/>
      <c r="BG1357" s="31"/>
      <c r="BH1357" s="31"/>
      <c r="BI1357" s="31"/>
    </row>
    <row r="1358" spans="38:61" x14ac:dyDescent="0.2">
      <c r="AL1358" s="31"/>
      <c r="AM1358" s="31"/>
      <c r="AN1358" s="31"/>
      <c r="AO1358" s="31"/>
      <c r="AP1358" s="31"/>
      <c r="AQ1358" s="31"/>
      <c r="AR1358" s="31"/>
      <c r="AS1358" s="31"/>
      <c r="AT1358" s="31"/>
      <c r="AU1358" s="31"/>
      <c r="AV1358" s="31"/>
      <c r="AW1358" s="31"/>
      <c r="AX1358" s="31"/>
      <c r="AY1358" s="31"/>
      <c r="AZ1358" s="31"/>
      <c r="BA1358" s="31"/>
      <c r="BB1358" s="31"/>
      <c r="BC1358" s="31"/>
      <c r="BD1358" s="31"/>
      <c r="BE1358" s="31"/>
      <c r="BF1358" s="31"/>
      <c r="BG1358" s="31"/>
      <c r="BH1358" s="31"/>
      <c r="BI1358" s="31"/>
    </row>
    <row r="1359" spans="38:61" x14ac:dyDescent="0.2">
      <c r="AL1359" s="31"/>
      <c r="AM1359" s="31"/>
      <c r="AN1359" s="31"/>
      <c r="AO1359" s="31"/>
      <c r="AP1359" s="31"/>
      <c r="AQ1359" s="31"/>
      <c r="AR1359" s="31"/>
      <c r="AS1359" s="31"/>
      <c r="AT1359" s="31"/>
      <c r="AU1359" s="31"/>
      <c r="AV1359" s="31"/>
      <c r="AW1359" s="31"/>
      <c r="AX1359" s="31"/>
      <c r="AY1359" s="31"/>
      <c r="AZ1359" s="31"/>
      <c r="BA1359" s="31"/>
      <c r="BB1359" s="31"/>
      <c r="BC1359" s="31"/>
      <c r="BD1359" s="31"/>
      <c r="BE1359" s="31"/>
      <c r="BF1359" s="31"/>
      <c r="BG1359" s="31"/>
      <c r="BH1359" s="31"/>
      <c r="BI1359" s="31"/>
    </row>
    <row r="1360" spans="38:61" x14ac:dyDescent="0.2">
      <c r="AL1360" s="31"/>
      <c r="AM1360" s="31"/>
      <c r="AN1360" s="31"/>
      <c r="AO1360" s="31"/>
      <c r="AP1360" s="31"/>
      <c r="AQ1360" s="31"/>
      <c r="AR1360" s="31"/>
      <c r="AS1360" s="31"/>
      <c r="AT1360" s="31"/>
      <c r="AU1360" s="31"/>
      <c r="AV1360" s="31"/>
      <c r="AW1360" s="31"/>
      <c r="AX1360" s="31"/>
      <c r="AY1360" s="31"/>
      <c r="AZ1360" s="31"/>
      <c r="BA1360" s="31"/>
      <c r="BB1360" s="31"/>
      <c r="BC1360" s="31"/>
      <c r="BD1360" s="31"/>
      <c r="BE1360" s="31"/>
      <c r="BF1360" s="31"/>
      <c r="BG1360" s="31"/>
      <c r="BH1360" s="31"/>
      <c r="BI1360" s="31"/>
    </row>
    <row r="1361" spans="38:61" x14ac:dyDescent="0.2">
      <c r="AL1361" s="31"/>
      <c r="AM1361" s="31"/>
      <c r="AN1361" s="31"/>
      <c r="AO1361" s="31"/>
      <c r="AP1361" s="31"/>
      <c r="AQ1361" s="31"/>
      <c r="AR1361" s="31"/>
      <c r="AS1361" s="31"/>
      <c r="AT1361" s="31"/>
      <c r="AU1361" s="31"/>
      <c r="AV1361" s="31"/>
      <c r="AW1361" s="31"/>
      <c r="AX1361" s="31"/>
      <c r="AY1361" s="31"/>
      <c r="AZ1361" s="31"/>
      <c r="BA1361" s="31"/>
      <c r="BB1361" s="31"/>
      <c r="BC1361" s="31"/>
      <c r="BD1361" s="31"/>
      <c r="BE1361" s="31"/>
      <c r="BF1361" s="31"/>
      <c r="BG1361" s="31"/>
      <c r="BH1361" s="31"/>
      <c r="BI1361" s="31"/>
    </row>
    <row r="1362" spans="38:61" x14ac:dyDescent="0.2">
      <c r="AL1362" s="31"/>
      <c r="AM1362" s="31"/>
      <c r="AN1362" s="31"/>
      <c r="AO1362" s="31"/>
      <c r="AP1362" s="31"/>
      <c r="AQ1362" s="31"/>
      <c r="AR1362" s="31"/>
      <c r="AS1362" s="31"/>
      <c r="AT1362" s="31"/>
      <c r="AU1362" s="31"/>
      <c r="AV1362" s="31"/>
      <c r="AW1362" s="31"/>
      <c r="AX1362" s="31"/>
      <c r="AY1362" s="31"/>
      <c r="AZ1362" s="31"/>
      <c r="BA1362" s="31"/>
      <c r="BB1362" s="31"/>
      <c r="BC1362" s="31"/>
      <c r="BD1362" s="31"/>
      <c r="BE1362" s="31"/>
      <c r="BF1362" s="31"/>
      <c r="BG1362" s="31"/>
      <c r="BH1362" s="31"/>
      <c r="BI1362" s="31"/>
    </row>
    <row r="1363" spans="38:61" x14ac:dyDescent="0.2">
      <c r="AL1363" s="31"/>
      <c r="AM1363" s="31"/>
      <c r="AN1363" s="31"/>
      <c r="AO1363" s="31"/>
      <c r="AP1363" s="31"/>
      <c r="AQ1363" s="31"/>
      <c r="AR1363" s="31"/>
      <c r="AS1363" s="31"/>
      <c r="AT1363" s="31"/>
      <c r="AU1363" s="31"/>
      <c r="AV1363" s="31"/>
      <c r="AW1363" s="31"/>
      <c r="AX1363" s="31"/>
      <c r="AY1363" s="31"/>
      <c r="AZ1363" s="31"/>
      <c r="BA1363" s="31"/>
      <c r="BB1363" s="31"/>
      <c r="BC1363" s="31"/>
      <c r="BD1363" s="31"/>
      <c r="BE1363" s="31"/>
      <c r="BF1363" s="31"/>
      <c r="BG1363" s="31"/>
      <c r="BH1363" s="31"/>
      <c r="BI1363" s="31"/>
    </row>
    <row r="1364" spans="38:61" x14ac:dyDescent="0.2">
      <c r="AL1364" s="31"/>
      <c r="AM1364" s="31"/>
      <c r="AN1364" s="31"/>
      <c r="AO1364" s="31"/>
      <c r="AP1364" s="31"/>
      <c r="AQ1364" s="31"/>
      <c r="AR1364" s="31"/>
      <c r="AS1364" s="31"/>
      <c r="AT1364" s="31"/>
      <c r="AU1364" s="31"/>
      <c r="AV1364" s="31"/>
      <c r="AW1364" s="31"/>
      <c r="AX1364" s="31"/>
      <c r="AY1364" s="31"/>
      <c r="AZ1364" s="31"/>
      <c r="BA1364" s="31"/>
      <c r="BB1364" s="31"/>
      <c r="BC1364" s="31"/>
      <c r="BD1364" s="31"/>
      <c r="BE1364" s="31"/>
      <c r="BF1364" s="31"/>
      <c r="BG1364" s="31"/>
      <c r="BH1364" s="31"/>
      <c r="BI1364" s="31"/>
    </row>
    <row r="1365" spans="38:61" x14ac:dyDescent="0.2">
      <c r="AL1365" s="31"/>
      <c r="AM1365" s="31"/>
      <c r="AN1365" s="31"/>
      <c r="AO1365" s="31"/>
      <c r="AP1365" s="31"/>
      <c r="AQ1365" s="31"/>
      <c r="AR1365" s="31"/>
      <c r="AS1365" s="31"/>
      <c r="AT1365" s="31"/>
      <c r="AU1365" s="31"/>
      <c r="AV1365" s="31"/>
      <c r="AW1365" s="31"/>
      <c r="AX1365" s="31"/>
      <c r="AY1365" s="31"/>
      <c r="AZ1365" s="31"/>
      <c r="BA1365" s="31"/>
      <c r="BB1365" s="31"/>
      <c r="BC1365" s="31"/>
      <c r="BD1365" s="31"/>
      <c r="BE1365" s="31"/>
      <c r="BF1365" s="31"/>
      <c r="BG1365" s="31"/>
      <c r="BH1365" s="31"/>
      <c r="BI1365" s="31"/>
    </row>
    <row r="1366" spans="38:61" x14ac:dyDescent="0.2">
      <c r="AL1366" s="31"/>
      <c r="AM1366" s="31"/>
      <c r="AN1366" s="31"/>
      <c r="AO1366" s="31"/>
      <c r="AP1366" s="31"/>
      <c r="AQ1366" s="31"/>
      <c r="AR1366" s="31"/>
      <c r="AS1366" s="31"/>
      <c r="AT1366" s="31"/>
      <c r="AU1366" s="31"/>
      <c r="AV1366" s="31"/>
      <c r="AW1366" s="31"/>
      <c r="AX1366" s="31"/>
      <c r="AY1366" s="31"/>
      <c r="AZ1366" s="31"/>
      <c r="BA1366" s="31"/>
      <c r="BB1366" s="31"/>
      <c r="BC1366" s="31"/>
      <c r="BD1366" s="31"/>
      <c r="BE1366" s="31"/>
      <c r="BF1366" s="31"/>
      <c r="BG1366" s="31"/>
      <c r="BH1366" s="31"/>
      <c r="BI1366" s="31"/>
    </row>
    <row r="1367" spans="38:61" x14ac:dyDescent="0.2">
      <c r="AL1367" s="31"/>
      <c r="AM1367" s="31"/>
      <c r="AN1367" s="31"/>
      <c r="AO1367" s="31"/>
      <c r="AP1367" s="31"/>
      <c r="AQ1367" s="31"/>
      <c r="AR1367" s="31"/>
      <c r="AS1367" s="31"/>
      <c r="AT1367" s="31"/>
      <c r="AU1367" s="31"/>
      <c r="AV1367" s="31"/>
      <c r="AW1367" s="31"/>
      <c r="AX1367" s="31"/>
      <c r="AY1367" s="31"/>
      <c r="AZ1367" s="31"/>
      <c r="BA1367" s="31"/>
      <c r="BB1367" s="31"/>
      <c r="BC1367" s="31"/>
      <c r="BD1367" s="31"/>
      <c r="BE1367" s="31"/>
      <c r="BF1367" s="31"/>
      <c r="BG1367" s="31"/>
      <c r="BH1367" s="31"/>
      <c r="BI1367" s="31"/>
    </row>
    <row r="1368" spans="38:61" x14ac:dyDescent="0.2">
      <c r="AL1368" s="31"/>
      <c r="AM1368" s="31"/>
      <c r="AN1368" s="31"/>
      <c r="AO1368" s="31"/>
      <c r="AP1368" s="31"/>
      <c r="AQ1368" s="31"/>
      <c r="AR1368" s="31"/>
      <c r="AS1368" s="31"/>
      <c r="AT1368" s="31"/>
      <c r="AU1368" s="31"/>
      <c r="AV1368" s="31"/>
      <c r="AW1368" s="31"/>
      <c r="AX1368" s="31"/>
      <c r="AY1368" s="31"/>
      <c r="AZ1368" s="31"/>
      <c r="BA1368" s="31"/>
      <c r="BB1368" s="31"/>
      <c r="BC1368" s="31"/>
      <c r="BD1368" s="31"/>
      <c r="BE1368" s="31"/>
      <c r="BF1368" s="31"/>
      <c r="BG1368" s="31"/>
      <c r="BH1368" s="31"/>
      <c r="BI1368" s="31"/>
    </row>
    <row r="1369" spans="38:61" x14ac:dyDescent="0.2">
      <c r="AL1369" s="31"/>
      <c r="AM1369" s="31"/>
      <c r="AN1369" s="31"/>
      <c r="AO1369" s="31"/>
      <c r="AP1369" s="31"/>
      <c r="AQ1369" s="31"/>
      <c r="AR1369" s="31"/>
      <c r="AS1369" s="31"/>
      <c r="AT1369" s="31"/>
      <c r="AU1369" s="31"/>
      <c r="AV1369" s="31"/>
      <c r="AW1369" s="31"/>
      <c r="AX1369" s="31"/>
      <c r="AY1369" s="31"/>
      <c r="AZ1369" s="31"/>
      <c r="BA1369" s="31"/>
      <c r="BB1369" s="31"/>
      <c r="BC1369" s="31"/>
      <c r="BD1369" s="31"/>
      <c r="BE1369" s="31"/>
      <c r="BF1369" s="31"/>
      <c r="BG1369" s="31"/>
      <c r="BH1369" s="31"/>
      <c r="BI1369" s="31"/>
    </row>
    <row r="1370" spans="38:61" x14ac:dyDescent="0.2">
      <c r="AL1370" s="31"/>
      <c r="AM1370" s="31"/>
      <c r="AN1370" s="31"/>
      <c r="AO1370" s="31"/>
      <c r="AP1370" s="31"/>
      <c r="AQ1370" s="31"/>
      <c r="AR1370" s="31"/>
      <c r="AS1370" s="31"/>
      <c r="AT1370" s="31"/>
      <c r="AU1370" s="31"/>
      <c r="AV1370" s="31"/>
      <c r="AW1370" s="31"/>
      <c r="AX1370" s="31"/>
      <c r="AY1370" s="31"/>
      <c r="AZ1370" s="31"/>
      <c r="BA1370" s="31"/>
      <c r="BB1370" s="31"/>
      <c r="BC1370" s="31"/>
      <c r="BD1370" s="31"/>
      <c r="BE1370" s="31"/>
      <c r="BF1370" s="31"/>
      <c r="BG1370" s="31"/>
      <c r="BH1370" s="31"/>
      <c r="BI1370" s="31"/>
    </row>
    <row r="1371" spans="38:61" x14ac:dyDescent="0.2">
      <c r="AL1371" s="31"/>
      <c r="AM1371" s="31"/>
      <c r="AN1371" s="31"/>
      <c r="AO1371" s="31"/>
      <c r="AP1371" s="31"/>
      <c r="AQ1371" s="31"/>
      <c r="AR1371" s="31"/>
      <c r="AS1371" s="31"/>
      <c r="AT1371" s="31"/>
      <c r="AU1371" s="31"/>
      <c r="AV1371" s="31"/>
      <c r="AW1371" s="31"/>
      <c r="AX1371" s="31"/>
      <c r="AY1371" s="31"/>
      <c r="AZ1371" s="31"/>
      <c r="BA1371" s="31"/>
      <c r="BB1371" s="31"/>
      <c r="BC1371" s="31"/>
      <c r="BD1371" s="31"/>
      <c r="BE1371" s="31"/>
      <c r="BF1371" s="31"/>
      <c r="BG1371" s="31"/>
      <c r="BH1371" s="31"/>
      <c r="BI1371" s="31"/>
    </row>
    <row r="1372" spans="38:61" x14ac:dyDescent="0.2">
      <c r="AL1372" s="31"/>
      <c r="AM1372" s="31"/>
      <c r="AN1372" s="31"/>
      <c r="AO1372" s="31"/>
      <c r="AP1372" s="31"/>
      <c r="AQ1372" s="31"/>
      <c r="AR1372" s="31"/>
      <c r="AS1372" s="31"/>
      <c r="AT1372" s="31"/>
      <c r="AU1372" s="31"/>
      <c r="AV1372" s="31"/>
      <c r="AW1372" s="31"/>
      <c r="AX1372" s="31"/>
      <c r="AY1372" s="31"/>
      <c r="AZ1372" s="31"/>
      <c r="BA1372" s="31"/>
      <c r="BB1372" s="31"/>
      <c r="BC1372" s="31"/>
      <c r="BD1372" s="31"/>
      <c r="BE1372" s="31"/>
      <c r="BF1372" s="31"/>
      <c r="BG1372" s="31"/>
      <c r="BH1372" s="31"/>
      <c r="BI1372" s="31"/>
    </row>
    <row r="1373" spans="38:61" x14ac:dyDescent="0.2">
      <c r="AL1373" s="31"/>
      <c r="AM1373" s="31"/>
      <c r="AN1373" s="31"/>
      <c r="AO1373" s="31"/>
      <c r="AP1373" s="31"/>
      <c r="AQ1373" s="31"/>
      <c r="AR1373" s="31"/>
      <c r="AS1373" s="31"/>
      <c r="AT1373" s="31"/>
      <c r="AU1373" s="31"/>
      <c r="AV1373" s="31"/>
      <c r="AW1373" s="31"/>
      <c r="AX1373" s="31"/>
      <c r="AY1373" s="31"/>
      <c r="AZ1373" s="31"/>
      <c r="BA1373" s="31"/>
      <c r="BB1373" s="31"/>
      <c r="BC1373" s="31"/>
      <c r="BD1373" s="31"/>
      <c r="BE1373" s="31"/>
      <c r="BF1373" s="31"/>
      <c r="BG1373" s="31"/>
      <c r="BH1373" s="31"/>
      <c r="BI1373" s="31"/>
    </row>
    <row r="1374" spans="38:61" x14ac:dyDescent="0.2">
      <c r="AL1374" s="31"/>
      <c r="AM1374" s="31"/>
      <c r="AN1374" s="31"/>
      <c r="AO1374" s="31"/>
      <c r="AP1374" s="31"/>
      <c r="AQ1374" s="31"/>
      <c r="AR1374" s="31"/>
      <c r="AS1374" s="31"/>
      <c r="AT1374" s="31"/>
      <c r="AU1374" s="31"/>
      <c r="AV1374" s="31"/>
      <c r="AW1374" s="31"/>
      <c r="AX1374" s="31"/>
      <c r="AY1374" s="31"/>
      <c r="AZ1374" s="31"/>
      <c r="BA1374" s="31"/>
      <c r="BB1374" s="31"/>
      <c r="BC1374" s="31"/>
      <c r="BD1374" s="31"/>
      <c r="BE1374" s="31"/>
      <c r="BF1374" s="31"/>
      <c r="BG1374" s="31"/>
      <c r="BH1374" s="31"/>
      <c r="BI1374" s="31"/>
    </row>
    <row r="1375" spans="38:61" x14ac:dyDescent="0.2">
      <c r="AL1375" s="31"/>
      <c r="AM1375" s="31"/>
      <c r="AN1375" s="31"/>
      <c r="AO1375" s="31"/>
      <c r="AP1375" s="31"/>
      <c r="AQ1375" s="31"/>
      <c r="AR1375" s="31"/>
      <c r="AS1375" s="31"/>
      <c r="AT1375" s="31"/>
      <c r="AU1375" s="31"/>
      <c r="AV1375" s="31"/>
      <c r="AW1375" s="31"/>
      <c r="AX1375" s="31"/>
      <c r="AY1375" s="31"/>
      <c r="AZ1375" s="31"/>
      <c r="BA1375" s="31"/>
      <c r="BB1375" s="31"/>
      <c r="BC1375" s="31"/>
      <c r="BD1375" s="31"/>
      <c r="BE1375" s="31"/>
      <c r="BF1375" s="31"/>
      <c r="BG1375" s="31"/>
      <c r="BH1375" s="31"/>
      <c r="BI1375" s="31"/>
    </row>
    <row r="1376" spans="38:61" x14ac:dyDescent="0.2">
      <c r="AL1376" s="31"/>
      <c r="AM1376" s="31"/>
      <c r="AN1376" s="31"/>
      <c r="AO1376" s="31"/>
      <c r="AP1376" s="31"/>
      <c r="AQ1376" s="31"/>
      <c r="AR1376" s="31"/>
      <c r="AS1376" s="31"/>
      <c r="AT1376" s="31"/>
      <c r="AU1376" s="31"/>
      <c r="AV1376" s="31"/>
      <c r="AW1376" s="31"/>
      <c r="AX1376" s="31"/>
      <c r="AY1376" s="31"/>
      <c r="AZ1376" s="31"/>
      <c r="BA1376" s="31"/>
      <c r="BB1376" s="31"/>
      <c r="BC1376" s="31"/>
      <c r="BD1376" s="31"/>
      <c r="BE1376" s="31"/>
      <c r="BF1376" s="31"/>
      <c r="BG1376" s="31"/>
      <c r="BH1376" s="31"/>
      <c r="BI1376" s="31"/>
    </row>
    <row r="1377" spans="38:61" x14ac:dyDescent="0.2">
      <c r="AL1377" s="31"/>
      <c r="AM1377" s="31"/>
      <c r="AN1377" s="31"/>
      <c r="AO1377" s="31"/>
      <c r="AP1377" s="31"/>
      <c r="AQ1377" s="31"/>
      <c r="AR1377" s="31"/>
      <c r="AS1377" s="31"/>
      <c r="AT1377" s="31"/>
      <c r="AU1377" s="31"/>
      <c r="AV1377" s="31"/>
      <c r="AW1377" s="31"/>
      <c r="AX1377" s="31"/>
      <c r="AY1377" s="31"/>
      <c r="AZ1377" s="31"/>
      <c r="BA1377" s="31"/>
      <c r="BB1377" s="31"/>
      <c r="BC1377" s="31"/>
      <c r="BD1377" s="31"/>
      <c r="BE1377" s="31"/>
      <c r="BF1377" s="31"/>
      <c r="BG1377" s="31"/>
      <c r="BH1377" s="31"/>
      <c r="BI1377" s="31"/>
    </row>
    <row r="1378" spans="38:61" x14ac:dyDescent="0.2">
      <c r="AL1378" s="31"/>
      <c r="AM1378" s="31"/>
      <c r="AN1378" s="31"/>
      <c r="AO1378" s="31"/>
      <c r="AP1378" s="31"/>
      <c r="AQ1378" s="31"/>
      <c r="AR1378" s="31"/>
      <c r="AS1378" s="31"/>
      <c r="AT1378" s="31"/>
      <c r="AU1378" s="31"/>
      <c r="AV1378" s="31"/>
      <c r="AW1378" s="31"/>
      <c r="AX1378" s="31"/>
      <c r="AY1378" s="31"/>
      <c r="AZ1378" s="31"/>
      <c r="BA1378" s="31"/>
      <c r="BB1378" s="31"/>
      <c r="BC1378" s="31"/>
      <c r="BD1378" s="31"/>
      <c r="BE1378" s="31"/>
      <c r="BF1378" s="31"/>
      <c r="BG1378" s="31"/>
      <c r="BH1378" s="31"/>
      <c r="BI1378" s="31"/>
    </row>
    <row r="1379" spans="38:61" x14ac:dyDescent="0.2">
      <c r="AL1379" s="31"/>
      <c r="AM1379" s="31"/>
      <c r="AN1379" s="31"/>
      <c r="AO1379" s="31"/>
      <c r="AP1379" s="31"/>
      <c r="AQ1379" s="31"/>
      <c r="AR1379" s="31"/>
      <c r="AS1379" s="31"/>
      <c r="AT1379" s="31"/>
      <c r="AU1379" s="31"/>
      <c r="AV1379" s="31"/>
      <c r="AW1379" s="31"/>
      <c r="AX1379" s="31"/>
      <c r="AY1379" s="31"/>
      <c r="AZ1379" s="31"/>
      <c r="BA1379" s="31"/>
      <c r="BB1379" s="31"/>
      <c r="BC1379" s="31"/>
      <c r="BD1379" s="31"/>
      <c r="BE1379" s="31"/>
      <c r="BF1379" s="31"/>
      <c r="BG1379" s="31"/>
      <c r="BH1379" s="31"/>
      <c r="BI1379" s="31"/>
    </row>
    <row r="1380" spans="38:61" x14ac:dyDescent="0.2">
      <c r="AL1380" s="31"/>
      <c r="AM1380" s="31"/>
      <c r="AN1380" s="31"/>
      <c r="AO1380" s="31"/>
      <c r="AP1380" s="31"/>
      <c r="AQ1380" s="31"/>
      <c r="AR1380" s="31"/>
      <c r="AS1380" s="31"/>
      <c r="AT1380" s="31"/>
      <c r="AU1380" s="31"/>
      <c r="AV1380" s="31"/>
      <c r="AW1380" s="31"/>
      <c r="AX1380" s="31"/>
      <c r="AY1380" s="31"/>
      <c r="AZ1380" s="31"/>
      <c r="BA1380" s="31"/>
      <c r="BB1380" s="31"/>
      <c r="BC1380" s="31"/>
      <c r="BD1380" s="31"/>
      <c r="BE1380" s="31"/>
      <c r="BF1380" s="31"/>
      <c r="BG1380" s="31"/>
      <c r="BH1380" s="31"/>
      <c r="BI1380" s="31"/>
    </row>
    <row r="1381" spans="38:61" x14ac:dyDescent="0.2">
      <c r="AL1381" s="31"/>
      <c r="AM1381" s="31"/>
      <c r="AN1381" s="31"/>
      <c r="AO1381" s="31"/>
      <c r="AP1381" s="31"/>
      <c r="AQ1381" s="31"/>
      <c r="AR1381" s="31"/>
      <c r="AS1381" s="31"/>
      <c r="AT1381" s="31"/>
      <c r="AU1381" s="31"/>
      <c r="AV1381" s="31"/>
      <c r="AW1381" s="31"/>
      <c r="AX1381" s="31"/>
      <c r="AY1381" s="31"/>
      <c r="AZ1381" s="31"/>
      <c r="BA1381" s="31"/>
      <c r="BB1381" s="31"/>
      <c r="BC1381" s="31"/>
      <c r="BD1381" s="31"/>
      <c r="BE1381" s="31"/>
      <c r="BF1381" s="31"/>
      <c r="BG1381" s="31"/>
      <c r="BH1381" s="31"/>
      <c r="BI1381" s="31"/>
    </row>
    <row r="1382" spans="38:61" x14ac:dyDescent="0.2">
      <c r="AL1382" s="31"/>
      <c r="AM1382" s="31"/>
      <c r="AN1382" s="31"/>
      <c r="AO1382" s="31"/>
      <c r="AP1382" s="31"/>
      <c r="AQ1382" s="31"/>
      <c r="AR1382" s="31"/>
      <c r="AS1382" s="31"/>
      <c r="AT1382" s="31"/>
      <c r="AU1382" s="31"/>
      <c r="AV1382" s="31"/>
      <c r="AW1382" s="31"/>
      <c r="AX1382" s="31"/>
      <c r="AY1382" s="31"/>
      <c r="AZ1382" s="31"/>
      <c r="BA1382" s="31"/>
      <c r="BB1382" s="31"/>
      <c r="BC1382" s="31"/>
      <c r="BD1382" s="31"/>
      <c r="BE1382" s="31"/>
      <c r="BF1382" s="31"/>
      <c r="BG1382" s="31"/>
      <c r="BH1382" s="31"/>
      <c r="BI1382" s="31"/>
    </row>
    <row r="1383" spans="38:61" x14ac:dyDescent="0.2">
      <c r="AL1383" s="31"/>
      <c r="AM1383" s="31"/>
      <c r="AN1383" s="31"/>
      <c r="AO1383" s="31"/>
      <c r="AP1383" s="31"/>
      <c r="AQ1383" s="31"/>
      <c r="AR1383" s="31"/>
      <c r="AS1383" s="31"/>
      <c r="AT1383" s="31"/>
      <c r="AU1383" s="31"/>
      <c r="AV1383" s="31"/>
      <c r="AW1383" s="31"/>
      <c r="AX1383" s="31"/>
      <c r="AY1383" s="31"/>
      <c r="AZ1383" s="31"/>
      <c r="BA1383" s="31"/>
      <c r="BB1383" s="31"/>
      <c r="BC1383" s="31"/>
      <c r="BD1383" s="31"/>
      <c r="BE1383" s="31"/>
      <c r="BF1383" s="31"/>
      <c r="BG1383" s="31"/>
      <c r="BH1383" s="31"/>
      <c r="BI1383" s="31"/>
    </row>
    <row r="1384" spans="38:61" x14ac:dyDescent="0.2">
      <c r="AL1384" s="31"/>
      <c r="AM1384" s="31"/>
      <c r="AN1384" s="31"/>
      <c r="AO1384" s="31"/>
      <c r="AP1384" s="31"/>
      <c r="AQ1384" s="31"/>
      <c r="AR1384" s="31"/>
      <c r="AS1384" s="31"/>
      <c r="AT1384" s="31"/>
      <c r="AU1384" s="31"/>
      <c r="AV1384" s="31"/>
      <c r="AW1384" s="31"/>
      <c r="AX1384" s="31"/>
      <c r="AY1384" s="31"/>
      <c r="AZ1384" s="31"/>
      <c r="BA1384" s="31"/>
      <c r="BB1384" s="31"/>
      <c r="BC1384" s="31"/>
      <c r="BD1384" s="31"/>
      <c r="BE1384" s="31"/>
      <c r="BF1384" s="31"/>
      <c r="BG1384" s="31"/>
      <c r="BH1384" s="31"/>
      <c r="BI1384" s="31"/>
    </row>
    <row r="1385" spans="38:61" x14ac:dyDescent="0.2">
      <c r="AL1385" s="31"/>
      <c r="AM1385" s="31"/>
      <c r="AN1385" s="31"/>
      <c r="AO1385" s="31"/>
      <c r="AP1385" s="31"/>
      <c r="AQ1385" s="31"/>
      <c r="AR1385" s="31"/>
      <c r="AS1385" s="31"/>
      <c r="AT1385" s="31"/>
      <c r="AU1385" s="31"/>
      <c r="AV1385" s="31"/>
      <c r="AW1385" s="31"/>
      <c r="AX1385" s="31"/>
      <c r="AY1385" s="31"/>
      <c r="AZ1385" s="31"/>
      <c r="BA1385" s="31"/>
      <c r="BB1385" s="31"/>
      <c r="BC1385" s="31"/>
      <c r="BD1385" s="31"/>
      <c r="BE1385" s="31"/>
      <c r="BF1385" s="31"/>
      <c r="BG1385" s="31"/>
      <c r="BH1385" s="31"/>
      <c r="BI1385" s="31"/>
    </row>
    <row r="1386" spans="38:61" x14ac:dyDescent="0.2">
      <c r="AL1386" s="31"/>
      <c r="AM1386" s="31"/>
      <c r="AN1386" s="31"/>
      <c r="AO1386" s="31"/>
      <c r="AP1386" s="31"/>
      <c r="AQ1386" s="31"/>
      <c r="AR1386" s="31"/>
      <c r="AS1386" s="31"/>
      <c r="AT1386" s="31"/>
      <c r="AU1386" s="31"/>
      <c r="AV1386" s="31"/>
      <c r="AW1386" s="31"/>
      <c r="AX1386" s="31"/>
      <c r="AY1386" s="31"/>
      <c r="AZ1386" s="31"/>
      <c r="BA1386" s="31"/>
      <c r="BB1386" s="31"/>
      <c r="BC1386" s="31"/>
      <c r="BD1386" s="31"/>
      <c r="BE1386" s="31"/>
      <c r="BF1386" s="31"/>
      <c r="BG1386" s="31"/>
      <c r="BH1386" s="31"/>
      <c r="BI1386" s="31"/>
    </row>
    <row r="1387" spans="38:61" x14ac:dyDescent="0.2">
      <c r="AL1387" s="31"/>
      <c r="AM1387" s="31"/>
      <c r="AN1387" s="31"/>
      <c r="AO1387" s="31"/>
      <c r="AP1387" s="31"/>
      <c r="AQ1387" s="31"/>
      <c r="AR1387" s="31"/>
      <c r="AS1387" s="31"/>
      <c r="AT1387" s="31"/>
      <c r="AU1387" s="31"/>
      <c r="AV1387" s="31"/>
      <c r="AW1387" s="31"/>
      <c r="AX1387" s="31"/>
      <c r="AY1387" s="31"/>
      <c r="AZ1387" s="31"/>
      <c r="BA1387" s="31"/>
      <c r="BB1387" s="31"/>
      <c r="BC1387" s="31"/>
      <c r="BD1387" s="31"/>
      <c r="BE1387" s="31"/>
      <c r="BF1387" s="31"/>
      <c r="BG1387" s="31"/>
      <c r="BH1387" s="31"/>
      <c r="BI1387" s="31"/>
    </row>
    <row r="1388" spans="38:61" x14ac:dyDescent="0.2">
      <c r="AL1388" s="31"/>
      <c r="AM1388" s="31"/>
      <c r="AN1388" s="31"/>
      <c r="AO1388" s="31"/>
      <c r="AP1388" s="31"/>
      <c r="AQ1388" s="31"/>
      <c r="AR1388" s="31"/>
      <c r="AS1388" s="31"/>
      <c r="AT1388" s="31"/>
      <c r="AU1388" s="31"/>
      <c r="AV1388" s="31"/>
      <c r="AW1388" s="31"/>
      <c r="AX1388" s="31"/>
      <c r="AY1388" s="31"/>
      <c r="AZ1388" s="31"/>
      <c r="BA1388" s="31"/>
      <c r="BB1388" s="31"/>
      <c r="BC1388" s="31"/>
      <c r="BD1388" s="31"/>
      <c r="BE1388" s="31"/>
      <c r="BF1388" s="31"/>
      <c r="BG1388" s="31"/>
      <c r="BH1388" s="31"/>
      <c r="BI1388" s="31"/>
    </row>
    <row r="1389" spans="38:61" x14ac:dyDescent="0.2">
      <c r="AL1389" s="31"/>
      <c r="AM1389" s="31"/>
      <c r="AN1389" s="31"/>
      <c r="AO1389" s="31"/>
      <c r="AP1389" s="31"/>
      <c r="AQ1389" s="31"/>
      <c r="AR1389" s="31"/>
      <c r="AS1389" s="31"/>
      <c r="AT1389" s="31"/>
      <c r="AU1389" s="31"/>
      <c r="AV1389" s="31"/>
      <c r="AW1389" s="31"/>
      <c r="AX1389" s="31"/>
      <c r="AY1389" s="31"/>
      <c r="AZ1389" s="31"/>
      <c r="BA1389" s="31"/>
      <c r="BB1389" s="31"/>
      <c r="BC1389" s="31"/>
      <c r="BD1389" s="31"/>
      <c r="BE1389" s="31"/>
      <c r="BF1389" s="31"/>
      <c r="BG1389" s="31"/>
      <c r="BH1389" s="31"/>
      <c r="BI1389" s="31"/>
    </row>
    <row r="1390" spans="38:61" x14ac:dyDescent="0.2">
      <c r="AL1390" s="31"/>
      <c r="AM1390" s="31"/>
      <c r="AN1390" s="31"/>
      <c r="AO1390" s="31"/>
      <c r="AP1390" s="31"/>
      <c r="AQ1390" s="31"/>
      <c r="AR1390" s="31"/>
      <c r="AS1390" s="31"/>
      <c r="AT1390" s="31"/>
      <c r="AU1390" s="31"/>
      <c r="AV1390" s="31"/>
      <c r="AW1390" s="31"/>
      <c r="AX1390" s="31"/>
      <c r="AY1390" s="31"/>
      <c r="AZ1390" s="31"/>
      <c r="BA1390" s="31"/>
      <c r="BB1390" s="31"/>
      <c r="BC1390" s="31"/>
      <c r="BD1390" s="31"/>
      <c r="BE1390" s="31"/>
      <c r="BF1390" s="31"/>
      <c r="BG1390" s="31"/>
      <c r="BH1390" s="31"/>
      <c r="BI1390" s="31"/>
    </row>
    <row r="1391" spans="38:61" x14ac:dyDescent="0.2">
      <c r="AL1391" s="31"/>
      <c r="AM1391" s="31"/>
      <c r="AN1391" s="31"/>
      <c r="AO1391" s="31"/>
      <c r="AP1391" s="31"/>
      <c r="AQ1391" s="31"/>
      <c r="AR1391" s="31"/>
      <c r="AS1391" s="31"/>
      <c r="AT1391" s="31"/>
      <c r="AU1391" s="31"/>
      <c r="AV1391" s="31"/>
      <c r="AW1391" s="31"/>
      <c r="AX1391" s="31"/>
      <c r="AY1391" s="31"/>
      <c r="AZ1391" s="31"/>
      <c r="BA1391" s="31"/>
      <c r="BB1391" s="31"/>
      <c r="BC1391" s="31"/>
      <c r="BD1391" s="31"/>
      <c r="BE1391" s="31"/>
      <c r="BF1391" s="31"/>
      <c r="BG1391" s="31"/>
      <c r="BH1391" s="31"/>
      <c r="BI1391" s="31"/>
    </row>
    <row r="1392" spans="38:61" x14ac:dyDescent="0.2">
      <c r="AL1392" s="31"/>
      <c r="AM1392" s="31"/>
      <c r="AN1392" s="31"/>
      <c r="AO1392" s="31"/>
      <c r="AP1392" s="31"/>
      <c r="AQ1392" s="31"/>
      <c r="AR1392" s="31"/>
      <c r="AS1392" s="31"/>
      <c r="AT1392" s="31"/>
      <c r="AU1392" s="31"/>
      <c r="AV1392" s="31"/>
      <c r="AW1392" s="31"/>
      <c r="AX1392" s="31"/>
      <c r="AY1392" s="31"/>
      <c r="AZ1392" s="31"/>
      <c r="BA1392" s="31"/>
      <c r="BB1392" s="31"/>
      <c r="BC1392" s="31"/>
      <c r="BD1392" s="31"/>
      <c r="BE1392" s="31"/>
      <c r="BF1392" s="31"/>
      <c r="BG1392" s="31"/>
      <c r="BH1392" s="31"/>
      <c r="BI1392" s="31"/>
    </row>
    <row r="1393" spans="38:61" x14ac:dyDescent="0.2">
      <c r="AL1393" s="31"/>
      <c r="AM1393" s="31"/>
      <c r="AN1393" s="31"/>
      <c r="AO1393" s="31"/>
      <c r="AP1393" s="31"/>
      <c r="AQ1393" s="31"/>
      <c r="AR1393" s="31"/>
      <c r="AS1393" s="31"/>
      <c r="AT1393" s="31"/>
      <c r="AU1393" s="31"/>
      <c r="AV1393" s="31"/>
      <c r="AW1393" s="31"/>
      <c r="AX1393" s="31"/>
      <c r="AY1393" s="31"/>
      <c r="AZ1393" s="31"/>
      <c r="BA1393" s="31"/>
      <c r="BB1393" s="31"/>
      <c r="BC1393" s="31"/>
      <c r="BD1393" s="31"/>
      <c r="BE1393" s="31"/>
      <c r="BF1393" s="31"/>
      <c r="BG1393" s="31"/>
      <c r="BH1393" s="31"/>
      <c r="BI1393" s="31"/>
    </row>
    <row r="1394" spans="38:61" x14ac:dyDescent="0.2">
      <c r="AL1394" s="31"/>
      <c r="AM1394" s="31"/>
      <c r="AN1394" s="31"/>
      <c r="AO1394" s="31"/>
      <c r="AP1394" s="31"/>
      <c r="AQ1394" s="31"/>
      <c r="AR1394" s="31"/>
      <c r="AS1394" s="31"/>
      <c r="AT1394" s="31"/>
      <c r="AU1394" s="31"/>
      <c r="AV1394" s="31"/>
      <c r="AW1394" s="31"/>
      <c r="AX1394" s="31"/>
      <c r="AY1394" s="31"/>
      <c r="AZ1394" s="31"/>
      <c r="BA1394" s="31"/>
      <c r="BB1394" s="31"/>
      <c r="BC1394" s="31"/>
      <c r="BD1394" s="31"/>
      <c r="BE1394" s="31"/>
      <c r="BF1394" s="31"/>
      <c r="BG1394" s="31"/>
      <c r="BH1394" s="31"/>
      <c r="BI1394" s="31"/>
    </row>
    <row r="1395" spans="38:61" x14ac:dyDescent="0.2">
      <c r="AL1395" s="31"/>
      <c r="AM1395" s="31"/>
      <c r="AN1395" s="31"/>
      <c r="AO1395" s="31"/>
      <c r="AP1395" s="31"/>
      <c r="AQ1395" s="31"/>
      <c r="AR1395" s="31"/>
      <c r="AS1395" s="31"/>
      <c r="AT1395" s="31"/>
      <c r="AU1395" s="31"/>
      <c r="AV1395" s="31"/>
      <c r="AW1395" s="31"/>
      <c r="AX1395" s="31"/>
      <c r="AY1395" s="31"/>
      <c r="AZ1395" s="31"/>
      <c r="BA1395" s="31"/>
      <c r="BB1395" s="31"/>
      <c r="BC1395" s="31"/>
      <c r="BD1395" s="31"/>
      <c r="BE1395" s="31"/>
      <c r="BF1395" s="31"/>
      <c r="BG1395" s="31"/>
      <c r="BH1395" s="31"/>
      <c r="BI1395" s="31"/>
    </row>
    <row r="1396" spans="38:61" x14ac:dyDescent="0.2">
      <c r="AL1396" s="31"/>
      <c r="AM1396" s="31"/>
      <c r="AN1396" s="31"/>
      <c r="AO1396" s="31"/>
      <c r="AP1396" s="31"/>
      <c r="AQ1396" s="31"/>
      <c r="AR1396" s="31"/>
      <c r="AS1396" s="31"/>
      <c r="AT1396" s="31"/>
      <c r="AU1396" s="31"/>
      <c r="AV1396" s="31"/>
      <c r="AW1396" s="31"/>
      <c r="AX1396" s="31"/>
      <c r="AY1396" s="31"/>
      <c r="AZ1396" s="31"/>
      <c r="BA1396" s="31"/>
      <c r="BB1396" s="31"/>
      <c r="BC1396" s="31"/>
      <c r="BD1396" s="31"/>
      <c r="BE1396" s="31"/>
      <c r="BF1396" s="31"/>
      <c r="BG1396" s="31"/>
      <c r="BH1396" s="31"/>
      <c r="BI1396" s="31"/>
    </row>
    <row r="1397" spans="38:61" x14ac:dyDescent="0.2">
      <c r="AL1397" s="31"/>
      <c r="AM1397" s="31"/>
      <c r="AN1397" s="31"/>
      <c r="AO1397" s="31"/>
      <c r="AP1397" s="31"/>
      <c r="AQ1397" s="31"/>
      <c r="AR1397" s="31"/>
      <c r="AS1397" s="31"/>
      <c r="AT1397" s="31"/>
      <c r="AU1397" s="31"/>
      <c r="AV1397" s="31"/>
      <c r="AW1397" s="31"/>
      <c r="AX1397" s="31"/>
      <c r="AY1397" s="31"/>
      <c r="AZ1397" s="31"/>
      <c r="BA1397" s="31"/>
      <c r="BB1397" s="31"/>
      <c r="BC1397" s="31"/>
      <c r="BD1397" s="31"/>
      <c r="BE1397" s="31"/>
      <c r="BF1397" s="31"/>
      <c r="BG1397" s="31"/>
      <c r="BH1397" s="31"/>
      <c r="BI1397" s="31"/>
    </row>
    <row r="1398" spans="38:61" x14ac:dyDescent="0.2">
      <c r="AL1398" s="31"/>
      <c r="AM1398" s="31"/>
      <c r="AN1398" s="31"/>
      <c r="AO1398" s="31"/>
      <c r="AP1398" s="31"/>
      <c r="AQ1398" s="31"/>
      <c r="AR1398" s="31"/>
      <c r="AS1398" s="31"/>
      <c r="AT1398" s="31"/>
      <c r="AU1398" s="31"/>
      <c r="AV1398" s="31"/>
      <c r="AW1398" s="31"/>
      <c r="AX1398" s="31"/>
      <c r="AY1398" s="31"/>
      <c r="AZ1398" s="31"/>
      <c r="BA1398" s="31"/>
      <c r="BB1398" s="31"/>
      <c r="BC1398" s="31"/>
      <c r="BD1398" s="31"/>
      <c r="BE1398" s="31"/>
      <c r="BF1398" s="31"/>
      <c r="BG1398" s="31"/>
      <c r="BH1398" s="31"/>
      <c r="BI1398" s="31"/>
    </row>
    <row r="1399" spans="38:61" x14ac:dyDescent="0.2">
      <c r="AL1399" s="31"/>
      <c r="AM1399" s="31"/>
      <c r="AN1399" s="31"/>
      <c r="AO1399" s="31"/>
      <c r="AP1399" s="31"/>
      <c r="AQ1399" s="31"/>
      <c r="AR1399" s="31"/>
      <c r="AS1399" s="31"/>
      <c r="AT1399" s="31"/>
      <c r="AU1399" s="31"/>
      <c r="AV1399" s="31"/>
      <c r="AW1399" s="31"/>
      <c r="AX1399" s="31"/>
      <c r="AY1399" s="31"/>
      <c r="AZ1399" s="31"/>
      <c r="BA1399" s="31"/>
      <c r="BB1399" s="31"/>
      <c r="BC1399" s="31"/>
      <c r="BD1399" s="31"/>
      <c r="BE1399" s="31"/>
      <c r="BF1399" s="31"/>
      <c r="BG1399" s="31"/>
      <c r="BH1399" s="31"/>
      <c r="BI1399" s="31"/>
    </row>
    <row r="1400" spans="38:61" x14ac:dyDescent="0.2">
      <c r="AL1400" s="31"/>
      <c r="AM1400" s="31"/>
      <c r="AN1400" s="31"/>
      <c r="AO1400" s="31"/>
      <c r="AP1400" s="31"/>
      <c r="AQ1400" s="31"/>
      <c r="AR1400" s="31"/>
      <c r="AS1400" s="31"/>
      <c r="AT1400" s="31"/>
      <c r="AU1400" s="31"/>
      <c r="AV1400" s="31"/>
      <c r="AW1400" s="31"/>
      <c r="AX1400" s="31"/>
      <c r="AY1400" s="31"/>
      <c r="AZ1400" s="31"/>
      <c r="BA1400" s="31"/>
      <c r="BB1400" s="31"/>
      <c r="BC1400" s="31"/>
      <c r="BD1400" s="31"/>
      <c r="BE1400" s="31"/>
      <c r="BF1400" s="31"/>
      <c r="BG1400" s="31"/>
      <c r="BH1400" s="31"/>
      <c r="BI1400" s="31"/>
    </row>
    <row r="1401" spans="38:61" x14ac:dyDescent="0.2">
      <c r="AL1401" s="31"/>
      <c r="AM1401" s="31"/>
      <c r="AN1401" s="31"/>
      <c r="AO1401" s="31"/>
      <c r="AP1401" s="31"/>
      <c r="AQ1401" s="31"/>
      <c r="AR1401" s="31"/>
      <c r="AS1401" s="31"/>
      <c r="AT1401" s="31"/>
      <c r="AU1401" s="31"/>
      <c r="AV1401" s="31"/>
      <c r="AW1401" s="31"/>
      <c r="AX1401" s="31"/>
      <c r="AY1401" s="31"/>
      <c r="AZ1401" s="31"/>
      <c r="BA1401" s="31"/>
      <c r="BB1401" s="31"/>
      <c r="BC1401" s="31"/>
      <c r="BD1401" s="31"/>
      <c r="BE1401" s="31"/>
      <c r="BF1401" s="31"/>
      <c r="BG1401" s="31"/>
      <c r="BH1401" s="31"/>
      <c r="BI1401" s="31"/>
    </row>
  </sheetData>
  <mergeCells count="6">
    <mergeCell ref="A1:F1"/>
    <mergeCell ref="A2:F2"/>
    <mergeCell ref="A17:F17"/>
    <mergeCell ref="B147:F147"/>
    <mergeCell ref="B166:F166"/>
    <mergeCell ref="B185:F18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2:AD336"/>
  <sheetViews>
    <sheetView showGridLines="0" tabSelected="1" zoomScale="90" zoomScaleNormal="9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4" sqref="F4"/>
    </sheetView>
  </sheetViews>
  <sheetFormatPr defaultRowHeight="15.75" x14ac:dyDescent="0.25"/>
  <cols>
    <col min="1" max="1" width="1.6640625" style="258" customWidth="1"/>
    <col min="2" max="2" width="6.21875" style="4" customWidth="1"/>
    <col min="3" max="6" width="7.5546875" style="4" bestFit="1" customWidth="1"/>
    <col min="7" max="7" width="7.77734375" style="4" bestFit="1" customWidth="1"/>
    <col min="8" max="9" width="7.5546875" style="4" bestFit="1" customWidth="1"/>
    <col min="10" max="10" width="7.77734375" style="4" bestFit="1" customWidth="1"/>
    <col min="11" max="11" width="7.5546875" style="4" bestFit="1" customWidth="1"/>
    <col min="12" max="13" width="7.5546875" style="5" bestFit="1" customWidth="1"/>
    <col min="14" max="15" width="7.77734375" style="4" bestFit="1" customWidth="1"/>
    <col min="16" max="16" width="7.5546875" style="4" bestFit="1" customWidth="1"/>
    <col min="17" max="18" width="7.77734375" style="4" bestFit="1" customWidth="1"/>
    <col min="19" max="19" width="7.5546875" style="4" bestFit="1" customWidth="1"/>
    <col min="20" max="21" width="7.77734375" style="4" bestFit="1" customWidth="1"/>
    <col min="22" max="22" width="7.5546875" style="4" bestFit="1" customWidth="1"/>
    <col min="23" max="26" width="7.77734375" style="4" bestFit="1" customWidth="1"/>
    <col min="27" max="28" width="7.5546875" style="4" bestFit="1" customWidth="1"/>
    <col min="29" max="16384" width="8.88671875" style="258"/>
  </cols>
  <sheetData>
    <row r="2" spans="2:29" x14ac:dyDescent="0.25">
      <c r="B2" s="260" t="s">
        <v>192</v>
      </c>
    </row>
    <row r="3" spans="2:29" x14ac:dyDescent="0.25">
      <c r="B3" s="260" t="s">
        <v>193</v>
      </c>
    </row>
    <row r="4" spans="2:29" x14ac:dyDescent="0.25">
      <c r="B4" s="260" t="s">
        <v>194</v>
      </c>
    </row>
    <row r="5" spans="2:29" ht="6" customHeight="1" x14ac:dyDescent="0.25">
      <c r="B5" s="261"/>
    </row>
    <row r="6" spans="2:29" x14ac:dyDescent="0.25">
      <c r="B6" s="261" t="s">
        <v>201</v>
      </c>
    </row>
    <row r="7" spans="2:29" x14ac:dyDescent="0.25">
      <c r="B7" s="261" t="s">
        <v>195</v>
      </c>
    </row>
    <row r="8" spans="2:29" x14ac:dyDescent="0.25">
      <c r="B8" s="262" t="s">
        <v>196</v>
      </c>
    </row>
    <row r="9" spans="2:29" x14ac:dyDescent="0.25">
      <c r="B9" s="262" t="s">
        <v>197</v>
      </c>
    </row>
    <row r="11" spans="2:29" x14ac:dyDescent="0.25">
      <c r="B11" s="348" t="s">
        <v>202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</row>
    <row r="12" spans="2:29" s="263" customFormat="1" ht="24" x14ac:dyDescent="0.2">
      <c r="B12" s="264" t="s">
        <v>8</v>
      </c>
      <c r="C12" s="265">
        <v>1993</v>
      </c>
      <c r="D12" s="265">
        <v>1994</v>
      </c>
      <c r="E12" s="265">
        <v>1995</v>
      </c>
      <c r="F12" s="265">
        <v>1996</v>
      </c>
      <c r="G12" s="265">
        <v>1997</v>
      </c>
      <c r="H12" s="265">
        <v>1998</v>
      </c>
      <c r="I12" s="265">
        <v>1999</v>
      </c>
      <c r="J12" s="266">
        <v>2000</v>
      </c>
      <c r="K12" s="266">
        <v>2001</v>
      </c>
      <c r="L12" s="265">
        <v>2002</v>
      </c>
      <c r="M12" s="265">
        <v>2003</v>
      </c>
      <c r="N12" s="265">
        <v>2004</v>
      </c>
      <c r="O12" s="265">
        <v>2005</v>
      </c>
      <c r="P12" s="265">
        <v>2006</v>
      </c>
      <c r="Q12" s="265">
        <v>2007</v>
      </c>
      <c r="R12" s="265">
        <v>2008</v>
      </c>
      <c r="S12" s="265">
        <v>2009</v>
      </c>
      <c r="T12" s="265">
        <v>2010</v>
      </c>
      <c r="U12" s="265">
        <v>2011</v>
      </c>
      <c r="V12" s="265">
        <v>2012</v>
      </c>
      <c r="W12" s="265">
        <v>2013</v>
      </c>
      <c r="X12" s="265">
        <v>2014</v>
      </c>
      <c r="Y12" s="265">
        <v>2015</v>
      </c>
      <c r="Z12" s="265">
        <v>2016</v>
      </c>
      <c r="AA12" s="265">
        <v>2017</v>
      </c>
      <c r="AB12" s="265">
        <v>2018</v>
      </c>
      <c r="AC12" s="267" t="s">
        <v>218</v>
      </c>
    </row>
    <row r="13" spans="2:29" x14ac:dyDescent="0.25">
      <c r="B13" s="268" t="s">
        <v>9</v>
      </c>
      <c r="C13" s="269">
        <v>10547</v>
      </c>
      <c r="D13" s="269">
        <v>11670</v>
      </c>
      <c r="E13" s="269">
        <v>14056</v>
      </c>
      <c r="F13" s="269">
        <v>6790</v>
      </c>
      <c r="G13" s="270">
        <v>11791</v>
      </c>
      <c r="H13" s="271">
        <v>13099</v>
      </c>
      <c r="I13" s="271">
        <v>11337</v>
      </c>
      <c r="J13" s="270">
        <v>9399</v>
      </c>
      <c r="K13" s="270">
        <v>11794</v>
      </c>
      <c r="L13" s="272">
        <v>9030</v>
      </c>
      <c r="M13" s="272">
        <v>9193</v>
      </c>
      <c r="N13" s="273">
        <v>10507</v>
      </c>
      <c r="O13" s="273">
        <v>13486</v>
      </c>
      <c r="P13" s="273">
        <v>15456</v>
      </c>
      <c r="Q13" s="273">
        <f>+[2]summary!P5</f>
        <v>16695</v>
      </c>
      <c r="R13" s="273">
        <f>+[3]summary!Q5</f>
        <v>12336</v>
      </c>
      <c r="S13" s="273">
        <f>[4]summary!R5</f>
        <v>10063</v>
      </c>
      <c r="T13" s="273">
        <f>[5]summary!S5</f>
        <v>10502</v>
      </c>
      <c r="U13" s="273">
        <f>[6]summary!T5</f>
        <v>11632</v>
      </c>
      <c r="V13" s="273">
        <f>[7]summary!U5</f>
        <v>13166</v>
      </c>
      <c r="W13" s="273">
        <f>[8]summary!V5</f>
        <v>14126</v>
      </c>
      <c r="X13" s="273">
        <f>[9]summary!W5</f>
        <v>17183</v>
      </c>
      <c r="Y13" s="273">
        <f>[11]Summary!Y13</f>
        <v>19602</v>
      </c>
      <c r="Z13" s="273">
        <f>[11]Summary!Z13</f>
        <v>17918</v>
      </c>
      <c r="AA13" s="273">
        <f>[11]Summary!AA13</f>
        <v>18114</v>
      </c>
      <c r="AB13" s="273">
        <f>'Data Entry'!F95</f>
        <v>4984</v>
      </c>
      <c r="AC13" s="279">
        <f>(AB13-AA13)/AA13</f>
        <v>-0.72485370431710283</v>
      </c>
    </row>
    <row r="14" spans="2:29" x14ac:dyDescent="0.25">
      <c r="B14" s="268" t="s">
        <v>10</v>
      </c>
      <c r="C14" s="274">
        <v>11204</v>
      </c>
      <c r="D14" s="274">
        <v>12647</v>
      </c>
      <c r="E14" s="274">
        <v>13854</v>
      </c>
      <c r="F14" s="274">
        <v>8205</v>
      </c>
      <c r="G14" s="275">
        <v>11413</v>
      </c>
      <c r="H14" s="276">
        <v>12429</v>
      </c>
      <c r="I14" s="276">
        <v>10671</v>
      </c>
      <c r="J14" s="275">
        <v>11299</v>
      </c>
      <c r="K14" s="275">
        <v>11486</v>
      </c>
      <c r="L14" s="277">
        <v>10533</v>
      </c>
      <c r="M14" s="277">
        <v>10164</v>
      </c>
      <c r="N14" s="278">
        <v>11797</v>
      </c>
      <c r="O14" s="278">
        <v>14137</v>
      </c>
      <c r="P14" s="278">
        <v>15383</v>
      </c>
      <c r="Q14" s="278">
        <f>+[2]summary!P6</f>
        <v>16452</v>
      </c>
      <c r="R14" s="278">
        <f>+[3]summary!Q6</f>
        <v>12549</v>
      </c>
      <c r="S14" s="278">
        <f>[4]summary!R6</f>
        <v>10034</v>
      </c>
      <c r="T14" s="278">
        <f>[5]summary!S6</f>
        <v>12037</v>
      </c>
      <c r="U14" s="278">
        <f>[6]summary!T6</f>
        <v>12002</v>
      </c>
      <c r="V14" s="278">
        <f>[7]summary!U6</f>
        <v>13361</v>
      </c>
      <c r="W14" s="278">
        <f>[8]summary!V6</f>
        <v>14705</v>
      </c>
      <c r="X14" s="278">
        <f>[9]summary!W6</f>
        <v>16354</v>
      </c>
      <c r="Y14" s="278">
        <f>[11]Summary!Y14</f>
        <v>18111</v>
      </c>
      <c r="Z14" s="278">
        <f>[11]Summary!Z14</f>
        <v>16869</v>
      </c>
      <c r="AA14" s="278">
        <f>[11]Summary!AA14</f>
        <v>18100</v>
      </c>
      <c r="AB14" s="278">
        <f>'Data Entry'!F96</f>
        <v>5549</v>
      </c>
      <c r="AC14" s="279">
        <f>(AB14-AA14)/AA14</f>
        <v>-0.69342541436464089</v>
      </c>
    </row>
    <row r="15" spans="2:29" x14ac:dyDescent="0.25">
      <c r="B15" s="268" t="s">
        <v>47</v>
      </c>
      <c r="C15" s="274">
        <v>9871</v>
      </c>
      <c r="D15" s="274">
        <v>12524</v>
      </c>
      <c r="E15" s="274">
        <v>14412</v>
      </c>
      <c r="F15" s="274">
        <v>7341</v>
      </c>
      <c r="G15" s="275">
        <v>14282</v>
      </c>
      <c r="H15" s="276">
        <v>13099</v>
      </c>
      <c r="I15" s="276">
        <v>12580</v>
      </c>
      <c r="J15" s="275">
        <v>12939</v>
      </c>
      <c r="K15" s="275">
        <v>11316</v>
      </c>
      <c r="L15" s="277">
        <v>13482</v>
      </c>
      <c r="M15" s="277">
        <v>10808</v>
      </c>
      <c r="N15" s="278">
        <v>12228</v>
      </c>
      <c r="O15" s="278">
        <v>16765</v>
      </c>
      <c r="P15" s="278">
        <v>18046</v>
      </c>
      <c r="Q15" s="278">
        <f>+[2]summary!P7</f>
        <v>20424</v>
      </c>
      <c r="R15" s="278">
        <f>+[3]summary!Q7</f>
        <v>14729</v>
      </c>
      <c r="S15" s="278">
        <f>[4]summary!R7</f>
        <v>11152</v>
      </c>
      <c r="T15" s="278">
        <f>[5]summary!S7</f>
        <v>13152</v>
      </c>
      <c r="U15" s="278">
        <f>[6]summary!T7</f>
        <v>14706</v>
      </c>
      <c r="V15" s="278">
        <f>[7]summary!U7</f>
        <v>14242</v>
      </c>
      <c r="W15" s="278">
        <f>[8]summary!V7</f>
        <v>17732</v>
      </c>
      <c r="X15" s="278">
        <f>[9]summary!W7</f>
        <v>18447</v>
      </c>
      <c r="Y15" s="278">
        <f>[11]Summary!Y15</f>
        <v>20989</v>
      </c>
      <c r="Z15" s="278">
        <f>[11]Summary!Z15</f>
        <v>19582</v>
      </c>
      <c r="AA15" s="278">
        <f>[11]Summary!AA15</f>
        <v>19912</v>
      </c>
      <c r="AB15" s="278"/>
      <c r="AC15" s="279"/>
    </row>
    <row r="16" spans="2:29" x14ac:dyDescent="0.25">
      <c r="B16" s="280" t="s">
        <v>12</v>
      </c>
      <c r="C16" s="281">
        <v>31622</v>
      </c>
      <c r="D16" s="281">
        <v>36841</v>
      </c>
      <c r="E16" s="281">
        <v>42322</v>
      </c>
      <c r="F16" s="281">
        <v>22336</v>
      </c>
      <c r="G16" s="281">
        <v>37486</v>
      </c>
      <c r="H16" s="281">
        <v>38627</v>
      </c>
      <c r="I16" s="281">
        <v>34588</v>
      </c>
      <c r="J16" s="281">
        <v>33637</v>
      </c>
      <c r="K16" s="281">
        <v>34596</v>
      </c>
      <c r="L16" s="281">
        <v>33045</v>
      </c>
      <c r="M16" s="281">
        <v>30165</v>
      </c>
      <c r="N16" s="281">
        <v>34532</v>
      </c>
      <c r="O16" s="281">
        <v>44388</v>
      </c>
      <c r="P16" s="281">
        <v>48885</v>
      </c>
      <c r="Q16" s="281">
        <f t="shared" ref="Q16:W16" si="0">SUM(Q13:Q15)</f>
        <v>53571</v>
      </c>
      <c r="R16" s="281">
        <f t="shared" si="0"/>
        <v>39614</v>
      </c>
      <c r="S16" s="281">
        <f t="shared" si="0"/>
        <v>31249</v>
      </c>
      <c r="T16" s="281">
        <f t="shared" si="0"/>
        <v>35691</v>
      </c>
      <c r="U16" s="281">
        <f t="shared" si="0"/>
        <v>38340</v>
      </c>
      <c r="V16" s="281">
        <f t="shared" si="0"/>
        <v>40769</v>
      </c>
      <c r="W16" s="281">
        <f t="shared" si="0"/>
        <v>46563</v>
      </c>
      <c r="X16" s="281">
        <f>[9]summary!W8</f>
        <v>51984</v>
      </c>
      <c r="Y16" s="281">
        <f>[11]Summary!Y16</f>
        <v>58702</v>
      </c>
      <c r="Z16" s="281">
        <f>[11]Summary!Z16</f>
        <v>54369</v>
      </c>
      <c r="AA16" s="281">
        <f>[11]Summary!AA16</f>
        <v>56126</v>
      </c>
      <c r="AB16" s="281">
        <f>SUM(AB13:AB15)</f>
        <v>10533</v>
      </c>
      <c r="AC16" s="283"/>
    </row>
    <row r="17" spans="2:29" x14ac:dyDescent="0.25">
      <c r="B17" s="268" t="s">
        <v>48</v>
      </c>
      <c r="C17" s="274">
        <v>10923</v>
      </c>
      <c r="D17" s="274">
        <v>11274</v>
      </c>
      <c r="E17" s="274">
        <v>13279</v>
      </c>
      <c r="F17" s="274">
        <v>8086</v>
      </c>
      <c r="G17" s="275">
        <v>9396</v>
      </c>
      <c r="H17" s="276">
        <v>11525</v>
      </c>
      <c r="I17" s="276">
        <v>10803</v>
      </c>
      <c r="J17" s="275">
        <v>11857</v>
      </c>
      <c r="K17" s="275">
        <v>11694</v>
      </c>
      <c r="L17" s="277">
        <v>10903</v>
      </c>
      <c r="M17" s="277">
        <v>9736</v>
      </c>
      <c r="N17" s="278">
        <v>12292</v>
      </c>
      <c r="O17" s="278">
        <v>13792</v>
      </c>
      <c r="P17" s="278">
        <v>18483</v>
      </c>
      <c r="Q17" s="278">
        <f>+[2]summary!P9</f>
        <v>17990</v>
      </c>
      <c r="R17" s="278">
        <f>+[3]summary!Q9</f>
        <v>11998</v>
      </c>
      <c r="S17" s="278">
        <f>[4]summary!R9</f>
        <v>11553</v>
      </c>
      <c r="T17" s="278">
        <f>[5]summary!S9</f>
        <v>11605</v>
      </c>
      <c r="U17" s="278">
        <f>[6]summary!T9</f>
        <v>12797</v>
      </c>
      <c r="V17" s="278">
        <f>[7]summary!U9</f>
        <v>12595</v>
      </c>
      <c r="W17" s="278">
        <f>[8]summary!V9</f>
        <v>13787</v>
      </c>
      <c r="X17" s="278">
        <f>[9]summary!W9</f>
        <v>17923</v>
      </c>
      <c r="Y17" s="278">
        <f>[11]Summary!Y17</f>
        <v>18833</v>
      </c>
      <c r="Z17" s="278">
        <f>[11]Summary!Z17</f>
        <v>15746</v>
      </c>
      <c r="AA17" s="278">
        <f>[11]Summary!AA17</f>
        <v>19618</v>
      </c>
      <c r="AB17" s="278"/>
      <c r="AC17" s="279"/>
    </row>
    <row r="18" spans="2:29" x14ac:dyDescent="0.25">
      <c r="B18" s="268" t="s">
        <v>14</v>
      </c>
      <c r="C18" s="274">
        <v>8296</v>
      </c>
      <c r="D18" s="274">
        <v>9243</v>
      </c>
      <c r="E18" s="274">
        <v>9472</v>
      </c>
      <c r="F18" s="274">
        <v>7473</v>
      </c>
      <c r="G18" s="275">
        <v>8869</v>
      </c>
      <c r="H18" s="276">
        <v>9867</v>
      </c>
      <c r="I18" s="276">
        <v>8630</v>
      </c>
      <c r="J18" s="275">
        <v>9504</v>
      </c>
      <c r="K18" s="275">
        <v>8914</v>
      </c>
      <c r="L18" s="277">
        <v>9841</v>
      </c>
      <c r="M18" s="277">
        <v>10016</v>
      </c>
      <c r="N18" s="278">
        <v>9683</v>
      </c>
      <c r="O18" s="278">
        <v>10861</v>
      </c>
      <c r="P18" s="278">
        <v>13835</v>
      </c>
      <c r="Q18" s="278">
        <f>+[2]summary!P10</f>
        <v>13980</v>
      </c>
      <c r="R18" s="278">
        <f>+[3]summary!Q10</f>
        <v>12122</v>
      </c>
      <c r="S18" s="278">
        <f>[4]summary!R10</f>
        <v>9005</v>
      </c>
      <c r="T18" s="278">
        <f>[5]summary!S10</f>
        <v>9723</v>
      </c>
      <c r="U18" s="278">
        <f>[6]summary!T10</f>
        <v>10160</v>
      </c>
      <c r="V18" s="278">
        <f>[7]summary!U10</f>
        <v>10344</v>
      </c>
      <c r="W18" s="278">
        <f>[8]summary!V10</f>
        <v>11736</v>
      </c>
      <c r="X18" s="278">
        <f>[9]summary!W10</f>
        <v>13609</v>
      </c>
      <c r="Y18" s="278">
        <f>[11]Summary!Y18</f>
        <v>13506</v>
      </c>
      <c r="Z18" s="278">
        <f>[11]Summary!Z18</f>
        <v>13232</v>
      </c>
      <c r="AA18" s="278">
        <f>[11]Summary!AA18</f>
        <v>14339</v>
      </c>
      <c r="AB18" s="278"/>
      <c r="AC18" s="279"/>
    </row>
    <row r="19" spans="2:29" x14ac:dyDescent="0.25">
      <c r="B19" s="268" t="s">
        <v>49</v>
      </c>
      <c r="C19" s="274">
        <v>7048</v>
      </c>
      <c r="D19" s="274">
        <v>7650</v>
      </c>
      <c r="E19" s="274">
        <v>8794</v>
      </c>
      <c r="F19" s="274">
        <v>5810</v>
      </c>
      <c r="G19" s="275">
        <v>6966</v>
      </c>
      <c r="H19" s="276">
        <v>7600</v>
      </c>
      <c r="I19" s="276">
        <v>7833</v>
      </c>
      <c r="J19" s="275">
        <v>9183</v>
      </c>
      <c r="K19" s="275">
        <v>8003</v>
      </c>
      <c r="L19" s="277">
        <v>8004</v>
      </c>
      <c r="M19" s="277">
        <v>7725</v>
      </c>
      <c r="N19" s="278">
        <v>8240</v>
      </c>
      <c r="O19" s="278">
        <v>9700</v>
      </c>
      <c r="P19" s="278">
        <v>12780</v>
      </c>
      <c r="Q19" s="278">
        <f>+[2]summary!P11</f>
        <v>12971</v>
      </c>
      <c r="R19" s="278">
        <f>+[3]summary!Q11</f>
        <v>10027</v>
      </c>
      <c r="S19" s="278">
        <f>[4]summary!R11</f>
        <v>8822</v>
      </c>
      <c r="T19" s="278">
        <f>[5]summary!S11</f>
        <v>8626</v>
      </c>
      <c r="U19" s="278">
        <f>[6]summary!T11</f>
        <v>9024</v>
      </c>
      <c r="V19" s="278">
        <f>[7]summary!U11</f>
        <v>9246</v>
      </c>
      <c r="W19" s="278">
        <f>[8]summary!V11</f>
        <v>11117</v>
      </c>
      <c r="X19" s="278">
        <f>[9]summary!W11</f>
        <v>13315</v>
      </c>
      <c r="Y19" s="278">
        <f>[11]Summary!Y19</f>
        <v>13519</v>
      </c>
      <c r="Z19" s="278">
        <f>[11]Summary!Z19</f>
        <v>13500</v>
      </c>
      <c r="AA19" s="278">
        <f>[11]Summary!AA19</f>
        <v>15845</v>
      </c>
      <c r="AB19" s="278"/>
      <c r="AC19" s="279"/>
    </row>
    <row r="20" spans="2:29" x14ac:dyDescent="0.25">
      <c r="B20" s="280" t="s">
        <v>16</v>
      </c>
      <c r="C20" s="281">
        <v>26267</v>
      </c>
      <c r="D20" s="281">
        <v>28167</v>
      </c>
      <c r="E20" s="281">
        <v>31545</v>
      </c>
      <c r="F20" s="281">
        <v>21369</v>
      </c>
      <c r="G20" s="281">
        <v>25231</v>
      </c>
      <c r="H20" s="281">
        <v>28992</v>
      </c>
      <c r="I20" s="281">
        <v>27266</v>
      </c>
      <c r="J20" s="281">
        <v>30544</v>
      </c>
      <c r="K20" s="281">
        <v>28611</v>
      </c>
      <c r="L20" s="281">
        <v>28748</v>
      </c>
      <c r="M20" s="281">
        <v>27477</v>
      </c>
      <c r="N20" s="281">
        <v>30215</v>
      </c>
      <c r="O20" s="281">
        <v>34353</v>
      </c>
      <c r="P20" s="281">
        <v>45098</v>
      </c>
      <c r="Q20" s="281">
        <f t="shared" ref="Q20:W20" si="1">SUM(Q17:Q19)</f>
        <v>44941</v>
      </c>
      <c r="R20" s="281">
        <f t="shared" si="1"/>
        <v>34147</v>
      </c>
      <c r="S20" s="281">
        <f t="shared" si="1"/>
        <v>29380</v>
      </c>
      <c r="T20" s="281">
        <f t="shared" si="1"/>
        <v>29954</v>
      </c>
      <c r="U20" s="281">
        <f t="shared" si="1"/>
        <v>31981</v>
      </c>
      <c r="V20" s="281">
        <f t="shared" si="1"/>
        <v>32185</v>
      </c>
      <c r="W20" s="281">
        <f t="shared" si="1"/>
        <v>36640</v>
      </c>
      <c r="X20" s="281">
        <f>[9]summary!W12</f>
        <v>44847</v>
      </c>
      <c r="Y20" s="281">
        <f>[11]Summary!Y20</f>
        <v>45858</v>
      </c>
      <c r="Z20" s="281">
        <f>[11]Summary!Z20</f>
        <v>42478</v>
      </c>
      <c r="AA20" s="281">
        <f>[11]Summary!AA20</f>
        <v>49802</v>
      </c>
      <c r="AB20" s="281"/>
      <c r="AC20" s="283"/>
    </row>
    <row r="21" spans="2:29" x14ac:dyDescent="0.25">
      <c r="B21" s="268" t="s">
        <v>50</v>
      </c>
      <c r="C21" s="274">
        <v>9190</v>
      </c>
      <c r="D21" s="274">
        <v>10271</v>
      </c>
      <c r="E21" s="274">
        <v>9914</v>
      </c>
      <c r="F21" s="274">
        <v>6193</v>
      </c>
      <c r="G21" s="275">
        <v>9383</v>
      </c>
      <c r="H21" s="276">
        <v>9344</v>
      </c>
      <c r="I21" s="276">
        <v>9409</v>
      </c>
      <c r="J21" s="275">
        <v>9747</v>
      </c>
      <c r="K21" s="275">
        <v>8919</v>
      </c>
      <c r="L21" s="277">
        <v>9835</v>
      </c>
      <c r="M21" s="277">
        <v>11020</v>
      </c>
      <c r="N21" s="278">
        <v>11169</v>
      </c>
      <c r="O21" s="278">
        <v>13114</v>
      </c>
      <c r="P21" s="278">
        <v>14391</v>
      </c>
      <c r="Q21" s="278">
        <f>+[2]summary!P13</f>
        <v>15524</v>
      </c>
      <c r="R21" s="278">
        <f>+[3]summary!Q13</f>
        <v>12372</v>
      </c>
      <c r="S21" s="278">
        <f>[4]summary!R13</f>
        <v>11536</v>
      </c>
      <c r="T21" s="278">
        <f>[5]summary!S13</f>
        <v>11307</v>
      </c>
      <c r="U21" s="278">
        <f>[6]summary!T13</f>
        <v>12702</v>
      </c>
      <c r="V21" s="278">
        <f>[7]summary!U13</f>
        <v>11282</v>
      </c>
      <c r="W21" s="278">
        <f>[8]summary!V13</f>
        <v>13497</v>
      </c>
      <c r="X21" s="278">
        <f>[9]summary!W13</f>
        <v>16098</v>
      </c>
      <c r="Y21" s="278">
        <f>[11]Summary!Y21</f>
        <v>18482</v>
      </c>
      <c r="Z21" s="278">
        <f>[11]Summary!Z21</f>
        <v>18913</v>
      </c>
      <c r="AA21" s="278">
        <f>[11]Summary!AA21</f>
        <v>19092</v>
      </c>
      <c r="AB21" s="278"/>
      <c r="AC21" s="279"/>
    </row>
    <row r="22" spans="2:29" x14ac:dyDescent="0.25">
      <c r="B22" s="268" t="s">
        <v>51</v>
      </c>
      <c r="C22" s="274">
        <v>10622</v>
      </c>
      <c r="D22" s="274">
        <v>12180</v>
      </c>
      <c r="E22" s="274">
        <v>12299</v>
      </c>
      <c r="F22" s="274">
        <v>8600</v>
      </c>
      <c r="G22" s="275">
        <v>10497</v>
      </c>
      <c r="H22" s="276">
        <v>10448</v>
      </c>
      <c r="I22" s="276">
        <v>11777</v>
      </c>
      <c r="J22" s="275">
        <v>10350</v>
      </c>
      <c r="K22" s="275">
        <v>9710</v>
      </c>
      <c r="L22" s="277">
        <v>11132</v>
      </c>
      <c r="M22" s="277">
        <v>11947</v>
      </c>
      <c r="N22" s="278">
        <v>12641</v>
      </c>
      <c r="O22" s="278">
        <v>11548</v>
      </c>
      <c r="P22" s="278">
        <v>14957</v>
      </c>
      <c r="Q22" s="278">
        <f>+[2]summary!P14</f>
        <v>15721</v>
      </c>
      <c r="R22" s="278">
        <f>+[3]summary!Q14</f>
        <v>12508</v>
      </c>
      <c r="S22" s="278">
        <f>[4]summary!R14</f>
        <v>10084</v>
      </c>
      <c r="T22" s="278">
        <f>[5]summary!S14</f>
        <v>10936</v>
      </c>
      <c r="U22" s="278">
        <f>[6]summary!T14</f>
        <v>9161</v>
      </c>
      <c r="V22" s="278">
        <f>[7]summary!U14</f>
        <v>12380</v>
      </c>
      <c r="W22" s="278">
        <f>[8]summary!V14</f>
        <v>14974</v>
      </c>
      <c r="X22" s="278">
        <f>[9]summary!W14</f>
        <v>16210</v>
      </c>
      <c r="Y22" s="278">
        <f>[11]Summary!Y22</f>
        <v>17319</v>
      </c>
      <c r="Z22" s="278">
        <f>[11]Summary!Z22</f>
        <v>15608</v>
      </c>
      <c r="AA22" s="278">
        <f>[11]Summary!AA22</f>
        <v>17588</v>
      </c>
      <c r="AB22" s="278"/>
      <c r="AC22" s="279"/>
    </row>
    <row r="23" spans="2:29" x14ac:dyDescent="0.25">
      <c r="B23" s="268" t="s">
        <v>19</v>
      </c>
      <c r="C23" s="274">
        <v>5600</v>
      </c>
      <c r="D23" s="274">
        <v>6398</v>
      </c>
      <c r="E23" s="274">
        <v>1702</v>
      </c>
      <c r="F23" s="274">
        <v>3642</v>
      </c>
      <c r="G23" s="275">
        <v>3804</v>
      </c>
      <c r="H23" s="276">
        <v>3840</v>
      </c>
      <c r="I23" s="276">
        <v>4873</v>
      </c>
      <c r="J23" s="275">
        <v>3661</v>
      </c>
      <c r="K23" s="275">
        <v>3241</v>
      </c>
      <c r="L23" s="277">
        <v>3767</v>
      </c>
      <c r="M23" s="277">
        <v>3482</v>
      </c>
      <c r="N23" s="278">
        <v>4165</v>
      </c>
      <c r="O23" s="278">
        <v>5084</v>
      </c>
      <c r="P23" s="278">
        <v>6067</v>
      </c>
      <c r="Q23" s="278">
        <f>+[2]summary!P15</f>
        <v>5547</v>
      </c>
      <c r="R23" s="278">
        <f>+[3]summary!Q15</f>
        <v>4056</v>
      </c>
      <c r="S23" s="278">
        <f>[4]summary!R15</f>
        <v>3815</v>
      </c>
      <c r="T23" s="278">
        <f>[5]summary!S15</f>
        <v>3865</v>
      </c>
      <c r="U23" s="278">
        <f>[6]summary!T15</f>
        <v>3637</v>
      </c>
      <c r="V23" s="278">
        <f>[7]summary!U15</f>
        <v>4344</v>
      </c>
      <c r="W23" s="278">
        <f>[8]summary!V15</f>
        <v>4479</v>
      </c>
      <c r="X23" s="278">
        <f>[9]summary!W15</f>
        <v>5956</v>
      </c>
      <c r="Y23" s="278">
        <f>[11]Summary!Y23</f>
        <v>5987</v>
      </c>
      <c r="Z23" s="278">
        <f>[11]Summary!Z23</f>
        <v>5478</v>
      </c>
      <c r="AA23" s="278">
        <f>[11]Summary!AA23</f>
        <v>653</v>
      </c>
      <c r="AB23" s="278"/>
      <c r="AC23" s="279"/>
    </row>
    <row r="24" spans="2:29" x14ac:dyDescent="0.25">
      <c r="B24" s="280" t="s">
        <v>20</v>
      </c>
      <c r="C24" s="281">
        <v>25412</v>
      </c>
      <c r="D24" s="281">
        <v>28849</v>
      </c>
      <c r="E24" s="281">
        <v>23915</v>
      </c>
      <c r="F24" s="281">
        <v>18435</v>
      </c>
      <c r="G24" s="281">
        <v>23684</v>
      </c>
      <c r="H24" s="281">
        <v>23632</v>
      </c>
      <c r="I24" s="281">
        <v>26059</v>
      </c>
      <c r="J24" s="281">
        <v>23758</v>
      </c>
      <c r="K24" s="281">
        <v>21870</v>
      </c>
      <c r="L24" s="281">
        <v>24734</v>
      </c>
      <c r="M24" s="281">
        <v>26449</v>
      </c>
      <c r="N24" s="281">
        <v>27975</v>
      </c>
      <c r="O24" s="281">
        <v>29746</v>
      </c>
      <c r="P24" s="281">
        <v>35415</v>
      </c>
      <c r="Q24" s="281">
        <f t="shared" ref="Q24:W24" si="2">SUM(Q21:Q23)</f>
        <v>36792</v>
      </c>
      <c r="R24" s="281">
        <f t="shared" si="2"/>
        <v>28936</v>
      </c>
      <c r="S24" s="281">
        <f t="shared" si="2"/>
        <v>25435</v>
      </c>
      <c r="T24" s="281">
        <f t="shared" si="2"/>
        <v>26108</v>
      </c>
      <c r="U24" s="281">
        <f t="shared" si="2"/>
        <v>25500</v>
      </c>
      <c r="V24" s="281">
        <f t="shared" si="2"/>
        <v>28006</v>
      </c>
      <c r="W24" s="281">
        <f t="shared" si="2"/>
        <v>32950</v>
      </c>
      <c r="X24" s="281">
        <f>[9]summary!W16</f>
        <v>38264</v>
      </c>
      <c r="Y24" s="281">
        <f>[11]Summary!Y24</f>
        <v>41788</v>
      </c>
      <c r="Z24" s="281">
        <f>[11]Summary!Z24</f>
        <v>39999</v>
      </c>
      <c r="AA24" s="281">
        <f>[11]Summary!AA24</f>
        <v>37333</v>
      </c>
      <c r="AB24" s="281"/>
      <c r="AC24" s="283"/>
    </row>
    <row r="25" spans="2:29" x14ac:dyDescent="0.25">
      <c r="B25" s="268" t="s">
        <v>21</v>
      </c>
      <c r="C25" s="274">
        <v>7379</v>
      </c>
      <c r="D25" s="274">
        <v>8770</v>
      </c>
      <c r="E25" s="274">
        <v>1694</v>
      </c>
      <c r="F25" s="274">
        <v>5983</v>
      </c>
      <c r="G25" s="275">
        <v>6769</v>
      </c>
      <c r="H25" s="276">
        <v>6138</v>
      </c>
      <c r="I25" s="276">
        <v>5801</v>
      </c>
      <c r="J25" s="275">
        <v>5302</v>
      </c>
      <c r="K25" s="275">
        <v>4354</v>
      </c>
      <c r="L25" s="277">
        <v>5850</v>
      </c>
      <c r="M25" s="277">
        <v>5447</v>
      </c>
      <c r="N25" s="278">
        <v>5134</v>
      </c>
      <c r="O25" s="278">
        <v>6177</v>
      </c>
      <c r="P25" s="278">
        <v>7295</v>
      </c>
      <c r="Q25" s="278">
        <f>+[2]summary!P17</f>
        <v>6441</v>
      </c>
      <c r="R25" s="278">
        <f>+[3]summary!Q17</f>
        <v>5192</v>
      </c>
      <c r="S25" s="278">
        <f>[4]summary!R17</f>
        <v>6117</v>
      </c>
      <c r="T25" s="278">
        <f>[5]summary!S17</f>
        <v>5619</v>
      </c>
      <c r="U25" s="278">
        <f>[6]summary!T17</f>
        <v>5498</v>
      </c>
      <c r="V25" s="278">
        <f>[7]summary!U17</f>
        <v>6001</v>
      </c>
      <c r="W25" s="278">
        <f>[8]summary!V17</f>
        <v>6579</v>
      </c>
      <c r="X25" s="278">
        <f>[9]summary!W17</f>
        <v>7134</v>
      </c>
      <c r="Y25" s="278">
        <f>[11]Summary!Y25</f>
        <v>7767</v>
      </c>
      <c r="Z25" s="278">
        <f>[11]Summary!Z25</f>
        <v>8635</v>
      </c>
      <c r="AA25" s="278">
        <f>[11]Summary!AA25</f>
        <v>833</v>
      </c>
      <c r="AB25" s="278"/>
      <c r="AC25" s="279"/>
    </row>
    <row r="26" spans="2:29" x14ac:dyDescent="0.25">
      <c r="B26" s="268" t="s">
        <v>22</v>
      </c>
      <c r="C26" s="274">
        <v>9550</v>
      </c>
      <c r="D26" s="274">
        <v>10846</v>
      </c>
      <c r="E26" s="274">
        <v>2764</v>
      </c>
      <c r="F26" s="274">
        <v>8331</v>
      </c>
      <c r="G26" s="275">
        <v>9627</v>
      </c>
      <c r="H26" s="276">
        <v>7192</v>
      </c>
      <c r="I26" s="276">
        <v>5592</v>
      </c>
      <c r="J26" s="275">
        <v>8259</v>
      </c>
      <c r="K26" s="275">
        <v>7103</v>
      </c>
      <c r="L26" s="277">
        <v>8445</v>
      </c>
      <c r="M26" s="277">
        <v>8244</v>
      </c>
      <c r="N26" s="278">
        <v>9774</v>
      </c>
      <c r="O26" s="278">
        <v>12335</v>
      </c>
      <c r="P26" s="278">
        <f>'[1]data entry'!F105</f>
        <v>14010</v>
      </c>
      <c r="Q26" s="278">
        <f>+[2]summary!P18</f>
        <v>9823</v>
      </c>
      <c r="R26" s="278">
        <f>+[3]summary!Q18</f>
        <v>9540</v>
      </c>
      <c r="S26" s="278">
        <f>[4]summary!R18</f>
        <v>8492</v>
      </c>
      <c r="T26" s="278">
        <f>[5]summary!S18</f>
        <v>9075</v>
      </c>
      <c r="U26" s="278">
        <f>[6]summary!T18</f>
        <v>9966</v>
      </c>
      <c r="V26" s="278">
        <f>[7]summary!U18</f>
        <v>8866</v>
      </c>
      <c r="W26" s="278">
        <f>[8]summary!V18</f>
        <v>11936</v>
      </c>
      <c r="X26" s="278">
        <f>[9]summary!W18</f>
        <v>13590</v>
      </c>
      <c r="Y26" s="278">
        <f>[11]Summary!Y26</f>
        <v>13927</v>
      </c>
      <c r="Z26" s="278">
        <f>[11]Summary!Z26</f>
        <v>12988</v>
      </c>
      <c r="AA26" s="278">
        <f>[11]Summary!AA26</f>
        <v>2352</v>
      </c>
      <c r="AB26" s="278"/>
      <c r="AC26" s="279"/>
    </row>
    <row r="27" spans="2:29" x14ac:dyDescent="0.25">
      <c r="B27" s="268" t="s">
        <v>23</v>
      </c>
      <c r="C27" s="274">
        <v>11120</v>
      </c>
      <c r="D27" s="274">
        <v>12307</v>
      </c>
      <c r="E27" s="274">
        <v>4846</v>
      </c>
      <c r="F27" s="274">
        <v>9785</v>
      </c>
      <c r="G27" s="275">
        <v>11068</v>
      </c>
      <c r="H27" s="276">
        <v>9215</v>
      </c>
      <c r="I27" s="276">
        <v>7423</v>
      </c>
      <c r="J27" s="275">
        <v>10969</v>
      </c>
      <c r="K27" s="275">
        <v>8440</v>
      </c>
      <c r="L27" s="277">
        <v>10296</v>
      </c>
      <c r="M27" s="277">
        <v>11500</v>
      </c>
      <c r="N27" s="278">
        <v>13158</v>
      </c>
      <c r="O27" s="278">
        <v>16187</v>
      </c>
      <c r="P27" s="278">
        <f>+[1]summary!$O$19</f>
        <v>16542</v>
      </c>
      <c r="Q27" s="278">
        <f>+[2]summary!P19</f>
        <v>12499</v>
      </c>
      <c r="R27" s="278">
        <f>+[3]summary!Q19</f>
        <v>10432</v>
      </c>
      <c r="S27" s="278">
        <f>[4]summary!R19</f>
        <v>11442</v>
      </c>
      <c r="T27" s="278">
        <f>[5]summary!S19</f>
        <v>11964</v>
      </c>
      <c r="U27" s="278">
        <f>[6]summary!T19</f>
        <v>12273</v>
      </c>
      <c r="V27" s="278">
        <f>[7]summary!U19</f>
        <v>13564</v>
      </c>
      <c r="W27" s="278">
        <f>[8]summary!V19</f>
        <v>16635</v>
      </c>
      <c r="X27" s="278">
        <f>[9]summary!W19</f>
        <v>20961</v>
      </c>
      <c r="Y27" s="278">
        <f>[11]Summary!Y27</f>
        <v>18026</v>
      </c>
      <c r="Z27" s="278">
        <f>[11]Summary!Z27</f>
        <v>17501</v>
      </c>
      <c r="AA27" s="278">
        <f>[11]Summary!AA27</f>
        <v>4232</v>
      </c>
      <c r="AB27" s="278"/>
      <c r="AC27" s="279"/>
    </row>
    <row r="28" spans="2:29" x14ac:dyDescent="0.25">
      <c r="B28" s="280" t="s">
        <v>24</v>
      </c>
      <c r="C28" s="281">
        <v>28049</v>
      </c>
      <c r="D28" s="281">
        <v>31923</v>
      </c>
      <c r="E28" s="281">
        <v>9304</v>
      </c>
      <c r="F28" s="281">
        <v>24099</v>
      </c>
      <c r="G28" s="281">
        <v>27464</v>
      </c>
      <c r="H28" s="281">
        <v>22545</v>
      </c>
      <c r="I28" s="281">
        <v>18816</v>
      </c>
      <c r="J28" s="281">
        <v>24530</v>
      </c>
      <c r="K28" s="281">
        <v>19897</v>
      </c>
      <c r="L28" s="281">
        <v>24591</v>
      </c>
      <c r="M28" s="281">
        <v>25191</v>
      </c>
      <c r="N28" s="281">
        <v>28066</v>
      </c>
      <c r="O28" s="281">
        <v>34699</v>
      </c>
      <c r="P28" s="281">
        <f t="shared" ref="P28:V28" si="3">SUM(P25:P27)</f>
        <v>37847</v>
      </c>
      <c r="Q28" s="281">
        <f t="shared" si="3"/>
        <v>28763</v>
      </c>
      <c r="R28" s="281">
        <f t="shared" si="3"/>
        <v>25164</v>
      </c>
      <c r="S28" s="281">
        <f t="shared" si="3"/>
        <v>26051</v>
      </c>
      <c r="T28" s="281">
        <f t="shared" si="3"/>
        <v>26658</v>
      </c>
      <c r="U28" s="281">
        <f t="shared" si="3"/>
        <v>27737</v>
      </c>
      <c r="V28" s="281">
        <f t="shared" si="3"/>
        <v>28431</v>
      </c>
      <c r="W28" s="281">
        <f>SUM(W25:W27)</f>
        <v>35150</v>
      </c>
      <c r="X28" s="281">
        <f>[9]summary!W20</f>
        <v>41685</v>
      </c>
      <c r="Y28" s="281">
        <f>[11]Summary!Y28</f>
        <v>39720</v>
      </c>
      <c r="Z28" s="281">
        <f>[11]Summary!Z28</f>
        <v>39124</v>
      </c>
      <c r="AA28" s="281">
        <f>[11]Summary!AA28</f>
        <v>7417</v>
      </c>
      <c r="AB28" s="281"/>
      <c r="AC28" s="283"/>
    </row>
    <row r="29" spans="2:29" ht="16.5" thickBot="1" x14ac:dyDescent="0.3">
      <c r="B29" s="284" t="s">
        <v>7</v>
      </c>
      <c r="C29" s="285">
        <v>111350</v>
      </c>
      <c r="D29" s="285">
        <v>125780</v>
      </c>
      <c r="E29" s="285">
        <v>107086</v>
      </c>
      <c r="F29" s="285">
        <v>86239</v>
      </c>
      <c r="G29" s="285">
        <v>113865</v>
      </c>
      <c r="H29" s="285">
        <v>113796</v>
      </c>
      <c r="I29" s="285">
        <v>106729</v>
      </c>
      <c r="J29" s="285">
        <v>112469</v>
      </c>
      <c r="K29" s="285">
        <v>104974</v>
      </c>
      <c r="L29" s="285">
        <v>111118</v>
      </c>
      <c r="M29" s="285">
        <v>109282</v>
      </c>
      <c r="N29" s="285">
        <v>120788</v>
      </c>
      <c r="O29" s="285">
        <v>143186</v>
      </c>
      <c r="P29" s="285">
        <f>P28+P24+P20+P16</f>
        <v>167245</v>
      </c>
      <c r="Q29" s="285">
        <f>Q16+Q20+Q24+Q28</f>
        <v>164067</v>
      </c>
      <c r="R29" s="285">
        <f t="shared" ref="R29:W29" si="4">R28+R24+R20+R16</f>
        <v>127861</v>
      </c>
      <c r="S29" s="285">
        <f t="shared" si="4"/>
        <v>112115</v>
      </c>
      <c r="T29" s="285">
        <f t="shared" si="4"/>
        <v>118411</v>
      </c>
      <c r="U29" s="285">
        <f t="shared" si="4"/>
        <v>123558</v>
      </c>
      <c r="V29" s="285">
        <f t="shared" si="4"/>
        <v>129391</v>
      </c>
      <c r="W29" s="285">
        <f t="shared" si="4"/>
        <v>151303</v>
      </c>
      <c r="X29" s="285">
        <f>[9]summary!W21</f>
        <v>176780</v>
      </c>
      <c r="Y29" s="285">
        <f>[11]Summary!Y29</f>
        <v>186068</v>
      </c>
      <c r="Z29" s="285">
        <f>[11]Summary!Z29</f>
        <v>175970</v>
      </c>
      <c r="AA29" s="285">
        <f>[11]Summary!AA29</f>
        <v>150678</v>
      </c>
      <c r="AB29" s="285">
        <f>AB28+AB24+AB20+AB16</f>
        <v>10533</v>
      </c>
      <c r="AC29" s="286"/>
    </row>
    <row r="30" spans="2:29" x14ac:dyDescent="0.25">
      <c r="B30" s="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20.25" x14ac:dyDescent="0.3">
      <c r="B31" s="287" t="s">
        <v>203</v>
      </c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0"/>
      <c r="W31" s="20"/>
      <c r="X31" s="20"/>
      <c r="Y31" s="20"/>
      <c r="Z31" s="20"/>
      <c r="AA31" s="20"/>
      <c r="AB31" s="20"/>
      <c r="AC31" s="20"/>
    </row>
    <row r="32" spans="2:29" s="263" customFormat="1" ht="24" x14ac:dyDescent="0.2">
      <c r="B32" s="264" t="s">
        <v>25</v>
      </c>
      <c r="C32" s="265">
        <v>1993</v>
      </c>
      <c r="D32" s="265">
        <v>1994</v>
      </c>
      <c r="E32" s="265">
        <v>1995</v>
      </c>
      <c r="F32" s="265">
        <v>1996</v>
      </c>
      <c r="G32" s="265">
        <v>1997</v>
      </c>
      <c r="H32" s="265">
        <v>1998</v>
      </c>
      <c r="I32" s="265">
        <v>1999</v>
      </c>
      <c r="J32" s="266">
        <v>2000</v>
      </c>
      <c r="K32" s="266">
        <v>2001</v>
      </c>
      <c r="L32" s="265">
        <v>2002</v>
      </c>
      <c r="M32" s="265">
        <v>2003</v>
      </c>
      <c r="N32" s="265">
        <v>2004</v>
      </c>
      <c r="O32" s="265">
        <v>2005</v>
      </c>
      <c r="P32" s="265">
        <v>2006</v>
      </c>
      <c r="Q32" s="265">
        <v>2007</v>
      </c>
      <c r="R32" s="265">
        <v>2008</v>
      </c>
      <c r="S32" s="265">
        <v>2009</v>
      </c>
      <c r="T32" s="265">
        <v>2010</v>
      </c>
      <c r="U32" s="265">
        <v>2011</v>
      </c>
      <c r="V32" s="265">
        <v>2012</v>
      </c>
      <c r="W32" s="265">
        <v>2013</v>
      </c>
      <c r="X32" s="265">
        <v>2014</v>
      </c>
      <c r="Y32" s="265">
        <v>2015</v>
      </c>
      <c r="Z32" s="265">
        <v>2016</v>
      </c>
      <c r="AA32" s="265">
        <v>2017</v>
      </c>
      <c r="AB32" s="265">
        <v>2018</v>
      </c>
      <c r="AC32" s="267" t="s">
        <v>218</v>
      </c>
    </row>
    <row r="33" spans="2:29" x14ac:dyDescent="0.25">
      <c r="B33" s="268" t="s">
        <v>9</v>
      </c>
      <c r="C33" s="269">
        <v>3641</v>
      </c>
      <c r="D33" s="269">
        <v>4722</v>
      </c>
      <c r="E33" s="269">
        <v>4674</v>
      </c>
      <c r="F33" s="269">
        <v>3600</v>
      </c>
      <c r="G33" s="270">
        <v>4478</v>
      </c>
      <c r="H33" s="271">
        <v>4987</v>
      </c>
      <c r="I33" s="271">
        <v>4963</v>
      </c>
      <c r="J33" s="270">
        <v>3611</v>
      </c>
      <c r="K33" s="270">
        <v>4504</v>
      </c>
      <c r="L33" s="272">
        <v>3868</v>
      </c>
      <c r="M33" s="272">
        <v>4018</v>
      </c>
      <c r="N33" s="273">
        <v>4580</v>
      </c>
      <c r="O33" s="273">
        <v>5430</v>
      </c>
      <c r="P33" s="273">
        <v>6042</v>
      </c>
      <c r="Q33" s="273">
        <v>7411</v>
      </c>
      <c r="R33" s="273">
        <v>6108</v>
      </c>
      <c r="S33" s="273">
        <v>4958</v>
      </c>
      <c r="T33" s="273">
        <v>5207</v>
      </c>
      <c r="U33" s="273">
        <v>5707</v>
      </c>
      <c r="V33" s="273">
        <v>6342</v>
      </c>
      <c r="W33" s="273">
        <v>6351</v>
      </c>
      <c r="X33" s="273">
        <f>[9]summary!W26</f>
        <v>6644</v>
      </c>
      <c r="Y33" s="273">
        <f>[10]Summary!X26</f>
        <v>6758</v>
      </c>
      <c r="Z33" s="273">
        <f>[11]Summary!Z33</f>
        <v>7280</v>
      </c>
      <c r="AA33" s="273">
        <f>[11]Summary!AA33</f>
        <v>7267</v>
      </c>
      <c r="AB33" s="273">
        <f>'Data Entry'!$F$80</f>
        <v>2804</v>
      </c>
      <c r="AC33" s="279">
        <f>(AB33-AA33)/AA33</f>
        <v>-0.6141461400853172</v>
      </c>
    </row>
    <row r="34" spans="2:29" x14ac:dyDescent="0.25">
      <c r="B34" s="268" t="s">
        <v>10</v>
      </c>
      <c r="C34" s="274">
        <v>3955</v>
      </c>
      <c r="D34" s="274">
        <v>4965</v>
      </c>
      <c r="E34" s="274">
        <v>4876</v>
      </c>
      <c r="F34" s="274">
        <v>3848</v>
      </c>
      <c r="G34" s="275">
        <v>4888</v>
      </c>
      <c r="H34" s="276">
        <v>5178</v>
      </c>
      <c r="I34" s="276">
        <v>5524</v>
      </c>
      <c r="J34" s="275">
        <v>4435</v>
      </c>
      <c r="K34" s="275">
        <v>5552</v>
      </c>
      <c r="L34" s="277">
        <v>4677</v>
      </c>
      <c r="M34" s="277">
        <v>4501</v>
      </c>
      <c r="N34" s="278">
        <v>5563</v>
      </c>
      <c r="O34" s="278">
        <v>6208</v>
      </c>
      <c r="P34" s="278">
        <v>6681</v>
      </c>
      <c r="Q34" s="278">
        <v>7668</v>
      </c>
      <c r="R34" s="278">
        <v>7177</v>
      </c>
      <c r="S34" s="278">
        <v>5489</v>
      </c>
      <c r="T34" s="278">
        <v>5892</v>
      </c>
      <c r="U34" s="278">
        <v>6463</v>
      </c>
      <c r="V34" s="278">
        <v>6762</v>
      </c>
      <c r="W34" s="278">
        <v>6809</v>
      </c>
      <c r="X34" s="278">
        <f>[9]summary!W27</f>
        <v>7026</v>
      </c>
      <c r="Y34" s="278">
        <f>[10]Summary!X27</f>
        <v>7395</v>
      </c>
      <c r="Z34" s="278">
        <f>[11]Summary!Z34</f>
        <v>7960</v>
      </c>
      <c r="AA34" s="278">
        <f>[11]Summary!AA34</f>
        <v>7934</v>
      </c>
      <c r="AB34" s="278">
        <f>'Data Entry'!$F$81</f>
        <v>3260</v>
      </c>
      <c r="AC34" s="279">
        <f>(AB34-AA34)/AA34</f>
        <v>-0.58911015881018403</v>
      </c>
    </row>
    <row r="35" spans="2:29" x14ac:dyDescent="0.25">
      <c r="B35" s="268" t="s">
        <v>47</v>
      </c>
      <c r="C35" s="274">
        <v>3579</v>
      </c>
      <c r="D35" s="274">
        <v>4827</v>
      </c>
      <c r="E35" s="274">
        <v>4672</v>
      </c>
      <c r="F35" s="274">
        <v>3589</v>
      </c>
      <c r="G35" s="275">
        <v>5307</v>
      </c>
      <c r="H35" s="276">
        <v>4712</v>
      </c>
      <c r="I35" s="276">
        <v>5908</v>
      </c>
      <c r="J35" s="275">
        <v>4787</v>
      </c>
      <c r="K35" s="275">
        <v>5594</v>
      </c>
      <c r="L35" s="277">
        <v>5702</v>
      </c>
      <c r="M35" s="277">
        <v>4930</v>
      </c>
      <c r="N35" s="278">
        <v>5846</v>
      </c>
      <c r="O35" s="278">
        <v>6997</v>
      </c>
      <c r="P35" s="278">
        <v>7718</v>
      </c>
      <c r="Q35" s="278">
        <v>9895</v>
      </c>
      <c r="R35" s="278">
        <v>8446</v>
      </c>
      <c r="S35" s="278">
        <v>5714</v>
      </c>
      <c r="T35" s="278">
        <v>6969</v>
      </c>
      <c r="U35" s="278">
        <v>7357</v>
      </c>
      <c r="V35" s="278">
        <v>7538</v>
      </c>
      <c r="W35" s="278">
        <v>8342</v>
      </c>
      <c r="X35" s="278">
        <f>[9]summary!W28</f>
        <v>7868</v>
      </c>
      <c r="Y35" s="278">
        <f>[10]Summary!X28</f>
        <v>8683</v>
      </c>
      <c r="Z35" s="278">
        <f>[11]Summary!Z35</f>
        <v>9743</v>
      </c>
      <c r="AA35" s="278">
        <f>[11]Summary!AA35</f>
        <v>9244</v>
      </c>
      <c r="AB35" s="278"/>
      <c r="AC35" s="279"/>
    </row>
    <row r="36" spans="2:29" x14ac:dyDescent="0.25">
      <c r="B36" s="280" t="s">
        <v>12</v>
      </c>
      <c r="C36" s="281">
        <v>11175</v>
      </c>
      <c r="D36" s="281">
        <v>14514</v>
      </c>
      <c r="E36" s="281">
        <v>14222</v>
      </c>
      <c r="F36" s="281">
        <v>11037</v>
      </c>
      <c r="G36" s="281">
        <v>14673</v>
      </c>
      <c r="H36" s="281">
        <v>14877</v>
      </c>
      <c r="I36" s="281">
        <v>16395</v>
      </c>
      <c r="J36" s="281">
        <v>12833</v>
      </c>
      <c r="K36" s="281">
        <v>15650</v>
      </c>
      <c r="L36" s="281">
        <v>14247</v>
      </c>
      <c r="M36" s="281">
        <v>13449</v>
      </c>
      <c r="N36" s="281">
        <v>15989</v>
      </c>
      <c r="O36" s="281">
        <v>18635</v>
      </c>
      <c r="P36" s="281">
        <v>20441</v>
      </c>
      <c r="Q36" s="281">
        <v>24974</v>
      </c>
      <c r="R36" s="281">
        <v>21731</v>
      </c>
      <c r="S36" s="281">
        <v>16161</v>
      </c>
      <c r="T36" s="281">
        <v>18068</v>
      </c>
      <c r="U36" s="281">
        <v>19527</v>
      </c>
      <c r="V36" s="281">
        <v>20642</v>
      </c>
      <c r="W36" s="281">
        <v>21502</v>
      </c>
      <c r="X36" s="281">
        <f>[9]summary!W29</f>
        <v>21538</v>
      </c>
      <c r="Y36" s="281">
        <f>[10]Summary!X29</f>
        <v>22836</v>
      </c>
      <c r="Z36" s="281">
        <f>[11]Summary!Z36</f>
        <v>24983</v>
      </c>
      <c r="AA36" s="281">
        <f>[11]Summary!AA36</f>
        <v>24445</v>
      </c>
      <c r="AB36" s="281">
        <f>SUM(AB33:AB35)</f>
        <v>6064</v>
      </c>
      <c r="AC36" s="283"/>
    </row>
    <row r="37" spans="2:29" x14ac:dyDescent="0.25">
      <c r="B37" s="268" t="s">
        <v>48</v>
      </c>
      <c r="C37" s="274">
        <v>3696</v>
      </c>
      <c r="D37" s="274">
        <v>4572</v>
      </c>
      <c r="E37" s="274">
        <v>4706</v>
      </c>
      <c r="F37" s="274">
        <v>3854</v>
      </c>
      <c r="G37" s="275">
        <v>4056</v>
      </c>
      <c r="H37" s="276">
        <v>4658</v>
      </c>
      <c r="I37" s="276">
        <v>5050</v>
      </c>
      <c r="J37" s="275">
        <v>4821</v>
      </c>
      <c r="K37" s="275">
        <v>6054</v>
      </c>
      <c r="L37" s="277">
        <v>4472</v>
      </c>
      <c r="M37" s="277">
        <v>4787</v>
      </c>
      <c r="N37" s="278">
        <v>6005</v>
      </c>
      <c r="O37" s="278">
        <v>6117</v>
      </c>
      <c r="P37" s="278">
        <v>8392</v>
      </c>
      <c r="Q37" s="278">
        <v>7736</v>
      </c>
      <c r="R37" s="278">
        <v>6442</v>
      </c>
      <c r="S37" s="278">
        <v>5861</v>
      </c>
      <c r="T37" s="278">
        <v>5998</v>
      </c>
      <c r="U37" s="278">
        <v>7230</v>
      </c>
      <c r="V37" s="278">
        <v>6346</v>
      </c>
      <c r="W37" s="278">
        <v>6386</v>
      </c>
      <c r="X37" s="278">
        <f>[9]summary!W30</f>
        <v>7688</v>
      </c>
      <c r="Y37" s="278">
        <f>[10]Summary!X30</f>
        <v>7667</v>
      </c>
      <c r="Z37" s="278">
        <f>[11]Summary!Z37</f>
        <v>7340</v>
      </c>
      <c r="AA37" s="278">
        <f>[11]Summary!AA37</f>
        <v>9664</v>
      </c>
      <c r="AB37" s="278"/>
      <c r="AC37" s="279"/>
    </row>
    <row r="38" spans="2:29" x14ac:dyDescent="0.25">
      <c r="B38" s="268" t="s">
        <v>14</v>
      </c>
      <c r="C38" s="274">
        <v>2900</v>
      </c>
      <c r="D38" s="274">
        <v>3037</v>
      </c>
      <c r="E38" s="274">
        <v>3152</v>
      </c>
      <c r="F38" s="274">
        <v>3030</v>
      </c>
      <c r="G38" s="275">
        <v>3344</v>
      </c>
      <c r="H38" s="276">
        <v>3389</v>
      </c>
      <c r="I38" s="276">
        <v>3744</v>
      </c>
      <c r="J38" s="275">
        <v>3694</v>
      </c>
      <c r="K38" s="275">
        <v>3965</v>
      </c>
      <c r="L38" s="277">
        <v>3783</v>
      </c>
      <c r="M38" s="277">
        <v>3915</v>
      </c>
      <c r="N38" s="278">
        <v>5130</v>
      </c>
      <c r="O38" s="278">
        <v>5588</v>
      </c>
      <c r="P38" s="278">
        <v>6466</v>
      </c>
      <c r="Q38" s="278">
        <v>6907</v>
      </c>
      <c r="R38" s="278">
        <v>6322</v>
      </c>
      <c r="S38" s="278">
        <v>4354</v>
      </c>
      <c r="T38" s="278">
        <v>5286</v>
      </c>
      <c r="U38" s="278">
        <v>6072</v>
      </c>
      <c r="V38" s="278">
        <v>5410</v>
      </c>
      <c r="W38" s="278">
        <v>5961</v>
      </c>
      <c r="X38" s="278">
        <f>[9]summary!W31</f>
        <v>5894</v>
      </c>
      <c r="Y38" s="278">
        <f>[10]Summary!X31</f>
        <v>5797</v>
      </c>
      <c r="Z38" s="278">
        <f>[11]Summary!Z38</f>
        <v>6457</v>
      </c>
      <c r="AA38" s="278">
        <f>[11]Summary!AA38</f>
        <v>7100</v>
      </c>
      <c r="AB38" s="278"/>
      <c r="AC38" s="279"/>
    </row>
    <row r="39" spans="2:29" x14ac:dyDescent="0.25">
      <c r="B39" s="268" t="s">
        <v>49</v>
      </c>
      <c r="C39" s="274">
        <v>2323</v>
      </c>
      <c r="D39" s="274">
        <v>2523</v>
      </c>
      <c r="E39" s="274">
        <v>3287</v>
      </c>
      <c r="F39" s="274">
        <v>2497</v>
      </c>
      <c r="G39" s="275">
        <v>2574</v>
      </c>
      <c r="H39" s="276">
        <v>2825</v>
      </c>
      <c r="I39" s="276">
        <v>3138</v>
      </c>
      <c r="J39" s="275">
        <v>3390</v>
      </c>
      <c r="K39" s="275">
        <v>3498</v>
      </c>
      <c r="L39" s="277">
        <v>2997</v>
      </c>
      <c r="M39" s="277">
        <v>3373</v>
      </c>
      <c r="N39" s="278">
        <v>4001</v>
      </c>
      <c r="O39" s="278">
        <v>4766</v>
      </c>
      <c r="P39" s="278">
        <v>5845</v>
      </c>
      <c r="Q39" s="278">
        <v>6017</v>
      </c>
      <c r="R39" s="278">
        <v>5177</v>
      </c>
      <c r="S39" s="278">
        <v>4340</v>
      </c>
      <c r="T39" s="278">
        <v>4384</v>
      </c>
      <c r="U39" s="278">
        <v>5426</v>
      </c>
      <c r="V39" s="278">
        <v>4791</v>
      </c>
      <c r="W39" s="278">
        <v>5559</v>
      </c>
      <c r="X39" s="278">
        <f>[9]summary!W32</f>
        <v>5296</v>
      </c>
      <c r="Y39" s="278">
        <f>[10]Summary!X32</f>
        <v>5055</v>
      </c>
      <c r="Z39" s="278">
        <f>[11]Summary!Z39</f>
        <v>5588</v>
      </c>
      <c r="AA39" s="278">
        <f>[11]Summary!AA39</f>
        <v>6685</v>
      </c>
      <c r="AB39" s="278"/>
      <c r="AC39" s="279"/>
    </row>
    <row r="40" spans="2:29" x14ac:dyDescent="0.25">
      <c r="B40" s="280" t="s">
        <v>16</v>
      </c>
      <c r="C40" s="281">
        <v>8919</v>
      </c>
      <c r="D40" s="281">
        <v>10132</v>
      </c>
      <c r="E40" s="281">
        <v>11145</v>
      </c>
      <c r="F40" s="281">
        <v>9381</v>
      </c>
      <c r="G40" s="281">
        <v>9974</v>
      </c>
      <c r="H40" s="281">
        <v>10872</v>
      </c>
      <c r="I40" s="281">
        <v>11932</v>
      </c>
      <c r="J40" s="281">
        <v>11905</v>
      </c>
      <c r="K40" s="281">
        <v>13517</v>
      </c>
      <c r="L40" s="281">
        <v>11252</v>
      </c>
      <c r="M40" s="281">
        <v>12075</v>
      </c>
      <c r="N40" s="281">
        <v>15136</v>
      </c>
      <c r="O40" s="281">
        <v>16471</v>
      </c>
      <c r="P40" s="281">
        <v>20703</v>
      </c>
      <c r="Q40" s="281">
        <v>20660</v>
      </c>
      <c r="R40" s="281">
        <v>17941</v>
      </c>
      <c r="S40" s="281">
        <v>14555</v>
      </c>
      <c r="T40" s="281">
        <v>15668</v>
      </c>
      <c r="U40" s="281">
        <v>18728</v>
      </c>
      <c r="V40" s="281">
        <v>16547</v>
      </c>
      <c r="W40" s="281">
        <v>17906</v>
      </c>
      <c r="X40" s="281">
        <f>[9]summary!W33</f>
        <v>18878</v>
      </c>
      <c r="Y40" s="281">
        <f>[10]Summary!X33</f>
        <v>18519</v>
      </c>
      <c r="Z40" s="281">
        <f>[11]Summary!Z40</f>
        <v>19385</v>
      </c>
      <c r="AA40" s="281">
        <f>[11]Summary!AA40</f>
        <v>23449</v>
      </c>
      <c r="AB40" s="281"/>
      <c r="AC40" s="283"/>
    </row>
    <row r="41" spans="2:29" x14ac:dyDescent="0.25">
      <c r="B41" s="268" t="s">
        <v>50</v>
      </c>
      <c r="C41" s="274">
        <v>3096</v>
      </c>
      <c r="D41" s="274">
        <v>3482</v>
      </c>
      <c r="E41" s="274">
        <v>3311</v>
      </c>
      <c r="F41" s="274">
        <v>2869</v>
      </c>
      <c r="G41" s="275">
        <v>3456</v>
      </c>
      <c r="H41" s="276">
        <v>3590</v>
      </c>
      <c r="I41" s="276">
        <v>4034</v>
      </c>
      <c r="J41" s="275">
        <v>3836</v>
      </c>
      <c r="K41" s="275">
        <v>4295</v>
      </c>
      <c r="L41" s="277">
        <v>3771</v>
      </c>
      <c r="M41" s="277">
        <v>4542</v>
      </c>
      <c r="N41" s="278">
        <v>5485</v>
      </c>
      <c r="O41" s="278">
        <v>6093</v>
      </c>
      <c r="P41" s="278">
        <v>6588</v>
      </c>
      <c r="Q41" s="278">
        <v>6936</v>
      </c>
      <c r="R41" s="278">
        <v>6964</v>
      </c>
      <c r="S41" s="278">
        <v>5537</v>
      </c>
      <c r="T41" s="278">
        <v>6398</v>
      </c>
      <c r="U41" s="278">
        <v>6682</v>
      </c>
      <c r="V41" s="278">
        <v>5923</v>
      </c>
      <c r="W41" s="278">
        <v>6138</v>
      </c>
      <c r="X41" s="278">
        <f>[9]summary!W34</f>
        <v>6159</v>
      </c>
      <c r="Y41" s="278">
        <f>[10]Summary!X34</f>
        <v>7532</v>
      </c>
      <c r="Z41" s="278">
        <f>[11]Summary!Z41</f>
        <v>9512</v>
      </c>
      <c r="AA41" s="278">
        <f>[11]Summary!AA41</f>
        <v>8084</v>
      </c>
      <c r="AB41" s="278"/>
      <c r="AC41" s="279"/>
    </row>
    <row r="42" spans="2:29" x14ac:dyDescent="0.25">
      <c r="B42" s="268" t="s">
        <v>51</v>
      </c>
      <c r="C42" s="274">
        <v>2776</v>
      </c>
      <c r="D42" s="274">
        <v>2995</v>
      </c>
      <c r="E42" s="274">
        <v>3688</v>
      </c>
      <c r="F42" s="274">
        <v>2687</v>
      </c>
      <c r="G42" s="275">
        <v>3226</v>
      </c>
      <c r="H42" s="276">
        <v>3403</v>
      </c>
      <c r="I42" s="276">
        <v>3806</v>
      </c>
      <c r="J42" s="275">
        <v>3498</v>
      </c>
      <c r="K42" s="275">
        <v>4016</v>
      </c>
      <c r="L42" s="277">
        <v>3536</v>
      </c>
      <c r="M42" s="277">
        <v>3856</v>
      </c>
      <c r="N42" s="278">
        <v>4246</v>
      </c>
      <c r="O42" s="278">
        <v>4460</v>
      </c>
      <c r="P42" s="278">
        <v>6086</v>
      </c>
      <c r="Q42" s="278">
        <v>6929</v>
      </c>
      <c r="R42" s="278">
        <v>6443</v>
      </c>
      <c r="S42" s="278">
        <v>5374</v>
      </c>
      <c r="T42" s="278">
        <v>4643</v>
      </c>
      <c r="U42" s="278">
        <v>4009</v>
      </c>
      <c r="V42" s="278">
        <v>5026</v>
      </c>
      <c r="W42" s="278">
        <v>5754</v>
      </c>
      <c r="X42" s="278">
        <f>[9]summary!W35</f>
        <v>5735</v>
      </c>
      <c r="Y42" s="278">
        <f>[10]Summary!X35</f>
        <v>5663</v>
      </c>
      <c r="Z42" s="278">
        <f>[11]Summary!Z42</f>
        <v>5320</v>
      </c>
      <c r="AA42" s="278">
        <f>[11]Summary!AA42</f>
        <v>7428</v>
      </c>
      <c r="AB42" s="278"/>
      <c r="AC42" s="279"/>
    </row>
    <row r="43" spans="2:29" x14ac:dyDescent="0.25">
      <c r="B43" s="268" t="s">
        <v>19</v>
      </c>
      <c r="C43" s="274">
        <v>1432</v>
      </c>
      <c r="D43" s="274">
        <v>1688</v>
      </c>
      <c r="E43" s="274">
        <v>825</v>
      </c>
      <c r="F43" s="274">
        <v>1354</v>
      </c>
      <c r="G43" s="275">
        <v>1207</v>
      </c>
      <c r="H43" s="276">
        <v>1157</v>
      </c>
      <c r="I43" s="276">
        <v>1765</v>
      </c>
      <c r="J43" s="275">
        <v>1031</v>
      </c>
      <c r="K43" s="275">
        <v>907</v>
      </c>
      <c r="L43" s="277">
        <v>787</v>
      </c>
      <c r="M43" s="277">
        <v>967</v>
      </c>
      <c r="N43" s="278">
        <v>1178</v>
      </c>
      <c r="O43" s="278">
        <v>1525</v>
      </c>
      <c r="P43" s="278">
        <v>2196</v>
      </c>
      <c r="Q43" s="278">
        <v>1889</v>
      </c>
      <c r="R43" s="278">
        <v>1675</v>
      </c>
      <c r="S43" s="278">
        <v>1706</v>
      </c>
      <c r="T43" s="278">
        <v>1763</v>
      </c>
      <c r="U43" s="278">
        <v>1594</v>
      </c>
      <c r="V43" s="278">
        <v>1574</v>
      </c>
      <c r="W43" s="278">
        <v>1449</v>
      </c>
      <c r="X43" s="278">
        <f>[9]summary!W36</f>
        <v>1649</v>
      </c>
      <c r="Y43" s="278">
        <f>[10]Summary!X36</f>
        <v>1564</v>
      </c>
      <c r="Z43" s="278">
        <f>[11]Summary!Z43</f>
        <v>1710</v>
      </c>
      <c r="AA43" s="278">
        <f>[11]Summary!AA43</f>
        <v>351</v>
      </c>
      <c r="AB43" s="278"/>
      <c r="AC43" s="279"/>
    </row>
    <row r="44" spans="2:29" x14ac:dyDescent="0.25">
      <c r="B44" s="280" t="s">
        <v>20</v>
      </c>
      <c r="C44" s="281">
        <v>7304</v>
      </c>
      <c r="D44" s="281">
        <v>8165</v>
      </c>
      <c r="E44" s="281">
        <v>7824</v>
      </c>
      <c r="F44" s="281">
        <v>6910</v>
      </c>
      <c r="G44" s="281">
        <v>7889</v>
      </c>
      <c r="H44" s="281">
        <v>8150</v>
      </c>
      <c r="I44" s="281">
        <v>9605</v>
      </c>
      <c r="J44" s="281">
        <v>8365</v>
      </c>
      <c r="K44" s="281">
        <v>9218</v>
      </c>
      <c r="L44" s="281">
        <v>8094</v>
      </c>
      <c r="M44" s="281">
        <v>9365</v>
      </c>
      <c r="N44" s="281">
        <v>10909</v>
      </c>
      <c r="O44" s="281">
        <v>12078</v>
      </c>
      <c r="P44" s="281">
        <v>14870</v>
      </c>
      <c r="Q44" s="281">
        <v>15754</v>
      </c>
      <c r="R44" s="281">
        <v>15082</v>
      </c>
      <c r="S44" s="281">
        <v>12617</v>
      </c>
      <c r="T44" s="281">
        <v>12804</v>
      </c>
      <c r="U44" s="281">
        <v>12285</v>
      </c>
      <c r="V44" s="281">
        <v>12523</v>
      </c>
      <c r="W44" s="281">
        <v>13341</v>
      </c>
      <c r="X44" s="281">
        <f>[9]summary!W37</f>
        <v>13543</v>
      </c>
      <c r="Y44" s="281">
        <f>[10]Summary!X37</f>
        <v>14759</v>
      </c>
      <c r="Z44" s="281">
        <f>[11]Summary!Z44</f>
        <v>16542</v>
      </c>
      <c r="AA44" s="281">
        <f>[11]Summary!AA44</f>
        <v>15863</v>
      </c>
      <c r="AB44" s="281"/>
      <c r="AC44" s="283"/>
    </row>
    <row r="45" spans="2:29" x14ac:dyDescent="0.25">
      <c r="B45" s="268" t="s">
        <v>21</v>
      </c>
      <c r="C45" s="274">
        <v>2448</v>
      </c>
      <c r="D45" s="274">
        <v>2895</v>
      </c>
      <c r="E45" s="274">
        <v>871</v>
      </c>
      <c r="F45" s="274">
        <v>2228</v>
      </c>
      <c r="G45" s="275">
        <v>2320</v>
      </c>
      <c r="H45" s="276">
        <v>1956</v>
      </c>
      <c r="I45" s="276">
        <v>2370</v>
      </c>
      <c r="J45" s="275">
        <v>1650</v>
      </c>
      <c r="K45" s="275">
        <v>1596</v>
      </c>
      <c r="L45" s="277">
        <v>1619</v>
      </c>
      <c r="M45" s="277">
        <v>1712</v>
      </c>
      <c r="N45" s="278">
        <v>1494</v>
      </c>
      <c r="O45" s="278">
        <v>2093</v>
      </c>
      <c r="P45" s="278">
        <v>2513</v>
      </c>
      <c r="Q45" s="278">
        <v>2847</v>
      </c>
      <c r="R45" s="278">
        <v>2320</v>
      </c>
      <c r="S45" s="278">
        <v>2985</v>
      </c>
      <c r="T45" s="278">
        <v>2956</v>
      </c>
      <c r="U45" s="278">
        <v>2553</v>
      </c>
      <c r="V45" s="278">
        <v>2909</v>
      </c>
      <c r="W45" s="278">
        <v>2312</v>
      </c>
      <c r="X45" s="278">
        <f>[9]summary!W38</f>
        <v>2236</v>
      </c>
      <c r="Y45" s="278">
        <f>[10]Summary!X38</f>
        <v>2841</v>
      </c>
      <c r="Z45" s="278">
        <f>[11]Summary!Z45</f>
        <v>3246</v>
      </c>
      <c r="AA45" s="278">
        <f>[11]Summary!AA45</f>
        <v>602</v>
      </c>
      <c r="AB45" s="278"/>
      <c r="AC45" s="279"/>
    </row>
    <row r="46" spans="2:29" x14ac:dyDescent="0.25">
      <c r="B46" s="268" t="s">
        <v>22</v>
      </c>
      <c r="C46" s="274">
        <v>3335</v>
      </c>
      <c r="D46" s="274">
        <v>3336</v>
      </c>
      <c r="E46" s="274">
        <v>1551</v>
      </c>
      <c r="F46" s="274">
        <v>3530</v>
      </c>
      <c r="G46" s="275">
        <v>3620</v>
      </c>
      <c r="H46" s="276">
        <v>3038</v>
      </c>
      <c r="I46" s="276">
        <v>2632</v>
      </c>
      <c r="J46" s="275">
        <v>3536</v>
      </c>
      <c r="K46" s="275">
        <v>3291</v>
      </c>
      <c r="L46" s="277">
        <v>3786</v>
      </c>
      <c r="M46" s="277">
        <v>4541</v>
      </c>
      <c r="N46" s="278">
        <v>4410</v>
      </c>
      <c r="O46" s="278">
        <v>5708</v>
      </c>
      <c r="P46" s="278">
        <v>6268</v>
      </c>
      <c r="Q46" s="278">
        <v>6063</v>
      </c>
      <c r="R46" s="278">
        <v>4866</v>
      </c>
      <c r="S46" s="278">
        <v>4874</v>
      </c>
      <c r="T46" s="278">
        <v>5213</v>
      </c>
      <c r="U46" s="278">
        <v>5726</v>
      </c>
      <c r="V46" s="278">
        <v>4847</v>
      </c>
      <c r="W46" s="278">
        <v>5945</v>
      </c>
      <c r="X46" s="278">
        <f>[9]summary!W39</f>
        <v>6148</v>
      </c>
      <c r="Y46" s="278">
        <f>[10]Summary!X39</f>
        <v>5963</v>
      </c>
      <c r="Z46" s="278">
        <f>[11]Summary!Z46</f>
        <v>6557</v>
      </c>
      <c r="AA46" s="278">
        <f>[11]Summary!AA46</f>
        <v>1299</v>
      </c>
      <c r="AB46" s="278"/>
      <c r="AC46" s="279"/>
    </row>
    <row r="47" spans="2:29" x14ac:dyDescent="0.25">
      <c r="B47" s="268" t="s">
        <v>23</v>
      </c>
      <c r="C47" s="274">
        <v>4477</v>
      </c>
      <c r="D47" s="274">
        <v>4663</v>
      </c>
      <c r="E47" s="274">
        <v>2918</v>
      </c>
      <c r="F47" s="274">
        <v>4412</v>
      </c>
      <c r="G47" s="275">
        <v>4705</v>
      </c>
      <c r="H47" s="276">
        <v>4981</v>
      </c>
      <c r="I47" s="276">
        <v>3848</v>
      </c>
      <c r="J47" s="275">
        <v>5500</v>
      </c>
      <c r="K47" s="275">
        <v>4693</v>
      </c>
      <c r="L47" s="277">
        <v>4971</v>
      </c>
      <c r="M47" s="277">
        <v>5773</v>
      </c>
      <c r="N47" s="278">
        <v>6049</v>
      </c>
      <c r="O47" s="278">
        <v>7099</v>
      </c>
      <c r="P47" s="278">
        <v>8167</v>
      </c>
      <c r="Q47" s="278">
        <v>7354</v>
      </c>
      <c r="R47" s="278">
        <v>6344</v>
      </c>
      <c r="S47" s="278">
        <v>6699</v>
      </c>
      <c r="T47" s="278">
        <v>7289</v>
      </c>
      <c r="U47" s="278">
        <v>6964</v>
      </c>
      <c r="V47" s="278">
        <v>7230</v>
      </c>
      <c r="W47" s="278">
        <v>8062</v>
      </c>
      <c r="X47" s="278">
        <f>[9]summary!W40</f>
        <v>8574</v>
      </c>
      <c r="Y47" s="278">
        <f>[10]Summary!X40</f>
        <v>8314</v>
      </c>
      <c r="Z47" s="278">
        <f>[11]Summary!Z47</f>
        <v>8526</v>
      </c>
      <c r="AA47" s="278">
        <f>[11]Summary!AA47</f>
        <v>2596</v>
      </c>
      <c r="AB47" s="278"/>
      <c r="AC47" s="279"/>
    </row>
    <row r="48" spans="2:29" x14ac:dyDescent="0.25">
      <c r="B48" s="280" t="s">
        <v>24</v>
      </c>
      <c r="C48" s="281">
        <v>10260</v>
      </c>
      <c r="D48" s="281">
        <v>10894</v>
      </c>
      <c r="E48" s="281">
        <v>5340</v>
      </c>
      <c r="F48" s="281">
        <v>10170</v>
      </c>
      <c r="G48" s="281">
        <v>10645</v>
      </c>
      <c r="H48" s="281">
        <v>9975</v>
      </c>
      <c r="I48" s="281">
        <v>8850</v>
      </c>
      <c r="J48" s="281">
        <v>10686</v>
      </c>
      <c r="K48" s="281">
        <v>9580</v>
      </c>
      <c r="L48" s="281">
        <v>10376</v>
      </c>
      <c r="M48" s="281">
        <v>12026</v>
      </c>
      <c r="N48" s="281">
        <v>11953</v>
      </c>
      <c r="O48" s="281">
        <v>14900</v>
      </c>
      <c r="P48" s="281">
        <v>16948</v>
      </c>
      <c r="Q48" s="281">
        <v>16264</v>
      </c>
      <c r="R48" s="281">
        <v>13530</v>
      </c>
      <c r="S48" s="281">
        <v>14558</v>
      </c>
      <c r="T48" s="281">
        <v>15458</v>
      </c>
      <c r="U48" s="281">
        <v>15243</v>
      </c>
      <c r="V48" s="281">
        <v>14986</v>
      </c>
      <c r="W48" s="281">
        <v>16319</v>
      </c>
      <c r="X48" s="281">
        <f>[9]summary!W41</f>
        <v>16958</v>
      </c>
      <c r="Y48" s="281">
        <f>[10]Summary!X41</f>
        <v>17118</v>
      </c>
      <c r="Z48" s="281">
        <f>[11]Summary!Z48</f>
        <v>18329</v>
      </c>
      <c r="AA48" s="281">
        <f>[11]Summary!AA48</f>
        <v>4497</v>
      </c>
      <c r="AB48" s="281"/>
      <c r="AC48" s="283"/>
    </row>
    <row r="49" spans="2:29" ht="16.5" thickBot="1" x14ac:dyDescent="0.3">
      <c r="B49" s="284" t="s">
        <v>7</v>
      </c>
      <c r="C49" s="285">
        <v>37658</v>
      </c>
      <c r="D49" s="285">
        <v>43705</v>
      </c>
      <c r="E49" s="285">
        <v>38531</v>
      </c>
      <c r="F49" s="285">
        <v>37498</v>
      </c>
      <c r="G49" s="285">
        <v>43181</v>
      </c>
      <c r="H49" s="285">
        <v>43874</v>
      </c>
      <c r="I49" s="285">
        <v>46782</v>
      </c>
      <c r="J49" s="285">
        <v>43789</v>
      </c>
      <c r="K49" s="285">
        <v>47965</v>
      </c>
      <c r="L49" s="285">
        <v>43969</v>
      </c>
      <c r="M49" s="285">
        <v>46915</v>
      </c>
      <c r="N49" s="285">
        <v>53987</v>
      </c>
      <c r="O49" s="285">
        <v>62084</v>
      </c>
      <c r="P49" s="285">
        <v>72962</v>
      </c>
      <c r="Q49" s="285">
        <v>77652</v>
      </c>
      <c r="R49" s="285">
        <v>68284</v>
      </c>
      <c r="S49" s="285">
        <v>57891</v>
      </c>
      <c r="T49" s="285">
        <v>61998</v>
      </c>
      <c r="U49" s="285">
        <v>65783</v>
      </c>
      <c r="V49" s="285">
        <v>64698</v>
      </c>
      <c r="W49" s="285">
        <v>69068</v>
      </c>
      <c r="X49" s="285">
        <f>[9]summary!W42</f>
        <v>70917</v>
      </c>
      <c r="Y49" s="285">
        <f>[10]Summary!X42</f>
        <v>73232</v>
      </c>
      <c r="Z49" s="285">
        <f>[11]Summary!Z49</f>
        <v>79239</v>
      </c>
      <c r="AA49" s="285">
        <f>[11]Summary!AA49</f>
        <v>68254</v>
      </c>
      <c r="AB49" s="285">
        <f>AB48+AB44+AB40+AB36</f>
        <v>6064</v>
      </c>
      <c r="AC49" s="286"/>
    </row>
    <row r="50" spans="2:29" x14ac:dyDescent="0.25">
      <c r="B50" s="2"/>
      <c r="C50" s="21"/>
      <c r="D50" s="21"/>
      <c r="E50" s="21"/>
      <c r="F50" s="21"/>
      <c r="G50" s="22"/>
      <c r="H50" s="22"/>
      <c r="I50" s="12"/>
      <c r="J50" s="12"/>
      <c r="K50" s="12"/>
      <c r="L50" s="12"/>
      <c r="M50" s="12"/>
      <c r="N50" s="12"/>
      <c r="O50" s="256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2:29" ht="20.25" x14ac:dyDescent="0.3">
      <c r="B51" s="287" t="s">
        <v>204</v>
      </c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0"/>
      <c r="W51" s="20"/>
      <c r="X51" s="20"/>
      <c r="Y51" s="20"/>
      <c r="Z51" s="20"/>
      <c r="AA51" s="20"/>
      <c r="AB51" s="20"/>
      <c r="AC51" s="20"/>
    </row>
    <row r="52" spans="2:29" s="263" customFormat="1" ht="24" x14ac:dyDescent="0.2">
      <c r="B52" s="264" t="s">
        <v>8</v>
      </c>
      <c r="C52" s="265">
        <v>1993</v>
      </c>
      <c r="D52" s="265">
        <v>1994</v>
      </c>
      <c r="E52" s="265">
        <v>1995</v>
      </c>
      <c r="F52" s="265">
        <v>1996</v>
      </c>
      <c r="G52" s="265">
        <v>1997</v>
      </c>
      <c r="H52" s="265">
        <v>1998</v>
      </c>
      <c r="I52" s="265">
        <v>1999</v>
      </c>
      <c r="J52" s="266">
        <v>2000</v>
      </c>
      <c r="K52" s="266">
        <v>2001</v>
      </c>
      <c r="L52" s="265">
        <v>2002</v>
      </c>
      <c r="M52" s="265">
        <v>2003</v>
      </c>
      <c r="N52" s="265">
        <v>2004</v>
      </c>
      <c r="O52" s="265">
        <v>2005</v>
      </c>
      <c r="P52" s="265">
        <v>2006</v>
      </c>
      <c r="Q52" s="265">
        <v>2007</v>
      </c>
      <c r="R52" s="265">
        <v>2008</v>
      </c>
      <c r="S52" s="265">
        <v>2009</v>
      </c>
      <c r="T52" s="265">
        <v>2010</v>
      </c>
      <c r="U52" s="265">
        <v>2011</v>
      </c>
      <c r="V52" s="265">
        <v>2012</v>
      </c>
      <c r="W52" s="265">
        <v>2013</v>
      </c>
      <c r="X52" s="265">
        <v>2014</v>
      </c>
      <c r="Y52" s="265">
        <v>2015</v>
      </c>
      <c r="Z52" s="265">
        <v>2016</v>
      </c>
      <c r="AA52" s="265">
        <v>2017</v>
      </c>
      <c r="AB52" s="265">
        <v>2018</v>
      </c>
      <c r="AC52" s="267" t="s">
        <v>218</v>
      </c>
    </row>
    <row r="53" spans="2:29" x14ac:dyDescent="0.25">
      <c r="B53" s="268" t="s">
        <v>9</v>
      </c>
      <c r="C53" s="269">
        <v>6906</v>
      </c>
      <c r="D53" s="269">
        <v>6948</v>
      </c>
      <c r="E53" s="269">
        <v>9382</v>
      </c>
      <c r="F53" s="269">
        <v>3190</v>
      </c>
      <c r="G53" s="270">
        <v>7313</v>
      </c>
      <c r="H53" s="271">
        <v>8112</v>
      </c>
      <c r="I53" s="271">
        <v>6374</v>
      </c>
      <c r="J53" s="270">
        <v>5788</v>
      </c>
      <c r="K53" s="270">
        <v>7290</v>
      </c>
      <c r="L53" s="272">
        <v>5162</v>
      </c>
      <c r="M53" s="272">
        <v>5175</v>
      </c>
      <c r="N53" s="273">
        <v>5927</v>
      </c>
      <c r="O53" s="273">
        <v>8056</v>
      </c>
      <c r="P53" s="273">
        <v>9414</v>
      </c>
      <c r="Q53" s="273">
        <v>9284</v>
      </c>
      <c r="R53" s="273">
        <v>6228</v>
      </c>
      <c r="S53" s="273">
        <v>5105</v>
      </c>
      <c r="T53" s="273">
        <v>5295</v>
      </c>
      <c r="U53" s="273">
        <v>5925</v>
      </c>
      <c r="V53" s="273">
        <v>6824</v>
      </c>
      <c r="W53" s="273">
        <v>7775</v>
      </c>
      <c r="X53" s="273">
        <f>[9]summary!W46</f>
        <v>10539</v>
      </c>
      <c r="Y53" s="273">
        <f>[10]Summary!X46</f>
        <v>12844</v>
      </c>
      <c r="Z53" s="273">
        <f>[11]Summary!Z53</f>
        <v>10638</v>
      </c>
      <c r="AA53" s="273">
        <f>[11]Summary!AA53</f>
        <v>10847</v>
      </c>
      <c r="AB53" s="273">
        <f>'Data Entry'!$F$65</f>
        <v>2180</v>
      </c>
      <c r="AC53" s="279">
        <f>(AB53-AA53)/AA53</f>
        <v>-0.79902277127316312</v>
      </c>
    </row>
    <row r="54" spans="2:29" x14ac:dyDescent="0.25">
      <c r="B54" s="268" t="s">
        <v>10</v>
      </c>
      <c r="C54" s="274">
        <v>7249</v>
      </c>
      <c r="D54" s="274">
        <v>7682</v>
      </c>
      <c r="E54" s="274">
        <v>8978</v>
      </c>
      <c r="F54" s="274">
        <v>4357</v>
      </c>
      <c r="G54" s="275">
        <v>6525</v>
      </c>
      <c r="H54" s="276">
        <v>7251</v>
      </c>
      <c r="I54" s="276">
        <v>5147</v>
      </c>
      <c r="J54" s="275">
        <v>6864</v>
      </c>
      <c r="K54" s="275">
        <v>5934</v>
      </c>
      <c r="L54" s="277">
        <v>5856</v>
      </c>
      <c r="M54" s="277">
        <v>5663</v>
      </c>
      <c r="N54" s="278">
        <v>6234</v>
      </c>
      <c r="O54" s="278">
        <v>7929</v>
      </c>
      <c r="P54" s="278">
        <v>8702</v>
      </c>
      <c r="Q54" s="278">
        <v>8784</v>
      </c>
      <c r="R54" s="278">
        <v>5372</v>
      </c>
      <c r="S54" s="278">
        <v>4545</v>
      </c>
      <c r="T54" s="278">
        <v>6145</v>
      </c>
      <c r="U54" s="278">
        <v>5539</v>
      </c>
      <c r="V54" s="278">
        <v>6599</v>
      </c>
      <c r="W54" s="278">
        <v>7896</v>
      </c>
      <c r="X54" s="278">
        <f>[9]summary!W47</f>
        <v>9328</v>
      </c>
      <c r="Y54" s="278">
        <f>[10]Summary!X47</f>
        <v>10716</v>
      </c>
      <c r="Z54" s="278">
        <f>[11]Summary!Z54</f>
        <v>8909</v>
      </c>
      <c r="AA54" s="278">
        <f>[11]Summary!AA54</f>
        <v>10166</v>
      </c>
      <c r="AB54" s="278">
        <f>'Data Entry'!$F$66</f>
        <v>2289</v>
      </c>
      <c r="AC54" s="279">
        <f>(AB54-AA54)/AA54</f>
        <v>-0.77483769427503446</v>
      </c>
    </row>
    <row r="55" spans="2:29" x14ac:dyDescent="0.25">
      <c r="B55" s="268" t="s">
        <v>47</v>
      </c>
      <c r="C55" s="274">
        <v>6292</v>
      </c>
      <c r="D55" s="274">
        <v>7697</v>
      </c>
      <c r="E55" s="274">
        <v>9740</v>
      </c>
      <c r="F55" s="274">
        <v>3752</v>
      </c>
      <c r="G55" s="275">
        <v>8975</v>
      </c>
      <c r="H55" s="276">
        <v>8387</v>
      </c>
      <c r="I55" s="276">
        <v>6672</v>
      </c>
      <c r="J55" s="275">
        <v>8152</v>
      </c>
      <c r="K55" s="275">
        <v>5722</v>
      </c>
      <c r="L55" s="277">
        <v>7780</v>
      </c>
      <c r="M55" s="277">
        <v>5878</v>
      </c>
      <c r="N55" s="278">
        <v>6382</v>
      </c>
      <c r="O55" s="278">
        <v>9768</v>
      </c>
      <c r="P55" s="278">
        <v>10328</v>
      </c>
      <c r="Q55" s="278">
        <v>10529</v>
      </c>
      <c r="R55" s="278">
        <v>6283</v>
      </c>
      <c r="S55" s="278">
        <v>5438</v>
      </c>
      <c r="T55" s="278">
        <v>6183</v>
      </c>
      <c r="U55" s="278">
        <v>7349</v>
      </c>
      <c r="V55" s="278">
        <v>6704</v>
      </c>
      <c r="W55" s="278">
        <v>9390</v>
      </c>
      <c r="X55" s="278">
        <f>[9]summary!W48</f>
        <v>10579</v>
      </c>
      <c r="Y55" s="278">
        <f>[10]Summary!X48</f>
        <v>12306</v>
      </c>
      <c r="Z55" s="278">
        <f>[11]Summary!Z55</f>
        <v>9839</v>
      </c>
      <c r="AA55" s="278">
        <f>[11]Summary!AA55</f>
        <v>10668</v>
      </c>
      <c r="AB55" s="278"/>
      <c r="AC55" s="279"/>
    </row>
    <row r="56" spans="2:29" x14ac:dyDescent="0.25">
      <c r="B56" s="280" t="s">
        <v>12</v>
      </c>
      <c r="C56" s="281">
        <v>20447</v>
      </c>
      <c r="D56" s="281">
        <v>22327</v>
      </c>
      <c r="E56" s="281">
        <v>28100</v>
      </c>
      <c r="F56" s="281">
        <v>11299</v>
      </c>
      <c r="G56" s="281">
        <v>22813</v>
      </c>
      <c r="H56" s="281">
        <v>23750</v>
      </c>
      <c r="I56" s="281">
        <v>18193</v>
      </c>
      <c r="J56" s="281">
        <v>20804</v>
      </c>
      <c r="K56" s="281">
        <v>18946</v>
      </c>
      <c r="L56" s="281">
        <v>18798</v>
      </c>
      <c r="M56" s="281">
        <v>16716</v>
      </c>
      <c r="N56" s="281">
        <v>18543</v>
      </c>
      <c r="O56" s="281">
        <v>25753</v>
      </c>
      <c r="P56" s="281">
        <v>28444</v>
      </c>
      <c r="Q56" s="281">
        <v>28597</v>
      </c>
      <c r="R56" s="281">
        <v>17883</v>
      </c>
      <c r="S56" s="281">
        <v>15088</v>
      </c>
      <c r="T56" s="281">
        <v>17623</v>
      </c>
      <c r="U56" s="281">
        <v>18813</v>
      </c>
      <c r="V56" s="281">
        <v>20127</v>
      </c>
      <c r="W56" s="281">
        <v>25061</v>
      </c>
      <c r="X56" s="281">
        <f>[9]summary!W49</f>
        <v>30446</v>
      </c>
      <c r="Y56" s="281">
        <f>[10]Summary!X49</f>
        <v>35866</v>
      </c>
      <c r="Z56" s="281">
        <f>[11]Summary!Z56</f>
        <v>29386</v>
      </c>
      <c r="AA56" s="281">
        <f>[11]Summary!AA56</f>
        <v>31681</v>
      </c>
      <c r="AB56" s="281">
        <f>SUM(AB53:AB55)</f>
        <v>4469</v>
      </c>
      <c r="AC56" s="283"/>
    </row>
    <row r="57" spans="2:29" x14ac:dyDescent="0.25">
      <c r="B57" s="268" t="s">
        <v>48</v>
      </c>
      <c r="C57" s="274">
        <v>7227</v>
      </c>
      <c r="D57" s="274">
        <v>6702</v>
      </c>
      <c r="E57" s="274">
        <v>8573</v>
      </c>
      <c r="F57" s="274">
        <v>4232</v>
      </c>
      <c r="G57" s="275">
        <v>5340</v>
      </c>
      <c r="H57" s="276">
        <v>6867</v>
      </c>
      <c r="I57" s="276">
        <v>5753</v>
      </c>
      <c r="J57" s="275">
        <v>7036</v>
      </c>
      <c r="K57" s="275">
        <v>5640</v>
      </c>
      <c r="L57" s="277">
        <v>6431</v>
      </c>
      <c r="M57" s="277">
        <v>4949</v>
      </c>
      <c r="N57" s="278">
        <v>6287</v>
      </c>
      <c r="O57" s="278">
        <v>7675</v>
      </c>
      <c r="P57" s="278">
        <v>10091</v>
      </c>
      <c r="Q57" s="278">
        <v>10254</v>
      </c>
      <c r="R57" s="278">
        <v>5556</v>
      </c>
      <c r="S57" s="278">
        <v>5692</v>
      </c>
      <c r="T57" s="278">
        <v>5607</v>
      </c>
      <c r="U57" s="278">
        <v>5567</v>
      </c>
      <c r="V57" s="278">
        <v>6249</v>
      </c>
      <c r="W57" s="278">
        <v>7401</v>
      </c>
      <c r="X57" s="278">
        <f>[9]summary!W50</f>
        <v>10235</v>
      </c>
      <c r="Y57" s="278">
        <f>[10]Summary!X50</f>
        <v>11166</v>
      </c>
      <c r="Z57" s="278">
        <f>[11]Summary!Z57</f>
        <v>8406</v>
      </c>
      <c r="AA57" s="278">
        <f>[11]Summary!AA57</f>
        <v>9954</v>
      </c>
      <c r="AB57" s="278"/>
      <c r="AC57" s="279"/>
    </row>
    <row r="58" spans="2:29" x14ac:dyDescent="0.25">
      <c r="B58" s="268" t="s">
        <v>14</v>
      </c>
      <c r="C58" s="274">
        <v>5396</v>
      </c>
      <c r="D58" s="274">
        <v>6206</v>
      </c>
      <c r="E58" s="274">
        <v>6320</v>
      </c>
      <c r="F58" s="274">
        <v>4443</v>
      </c>
      <c r="G58" s="275">
        <v>5525</v>
      </c>
      <c r="H58" s="276">
        <v>6478</v>
      </c>
      <c r="I58" s="276">
        <v>4886</v>
      </c>
      <c r="J58" s="275">
        <v>5810</v>
      </c>
      <c r="K58" s="275">
        <v>4949</v>
      </c>
      <c r="L58" s="277">
        <v>6058</v>
      </c>
      <c r="M58" s="277">
        <v>6101</v>
      </c>
      <c r="N58" s="278">
        <v>4553</v>
      </c>
      <c r="O58" s="278">
        <v>5273</v>
      </c>
      <c r="P58" s="278">
        <v>7369</v>
      </c>
      <c r="Q58" s="278">
        <v>7073</v>
      </c>
      <c r="R58" s="278">
        <v>5800</v>
      </c>
      <c r="S58" s="278">
        <v>4651</v>
      </c>
      <c r="T58" s="278">
        <v>4437</v>
      </c>
      <c r="U58" s="278">
        <v>4088</v>
      </c>
      <c r="V58" s="278">
        <v>4934</v>
      </c>
      <c r="W58" s="278">
        <v>5775</v>
      </c>
      <c r="X58" s="278">
        <f>[9]summary!W51</f>
        <v>7715</v>
      </c>
      <c r="Y58" s="278">
        <f>[10]Summary!X51</f>
        <v>7709</v>
      </c>
      <c r="Z58" s="278">
        <f>[11]Summary!Z58</f>
        <v>6775</v>
      </c>
      <c r="AA58" s="278">
        <f>[11]Summary!AA58</f>
        <v>7239</v>
      </c>
      <c r="AB58" s="278"/>
      <c r="AC58" s="279"/>
    </row>
    <row r="59" spans="2:29" x14ac:dyDescent="0.25">
      <c r="B59" s="268" t="s">
        <v>49</v>
      </c>
      <c r="C59" s="274">
        <v>4725</v>
      </c>
      <c r="D59" s="274">
        <v>5127</v>
      </c>
      <c r="E59" s="274">
        <v>5507</v>
      </c>
      <c r="F59" s="274">
        <v>3313</v>
      </c>
      <c r="G59" s="275">
        <v>4392</v>
      </c>
      <c r="H59" s="276">
        <v>4775</v>
      </c>
      <c r="I59" s="276">
        <v>4695</v>
      </c>
      <c r="J59" s="275">
        <v>5793</v>
      </c>
      <c r="K59" s="275">
        <v>4505</v>
      </c>
      <c r="L59" s="277">
        <v>5007</v>
      </c>
      <c r="M59" s="277">
        <v>4352</v>
      </c>
      <c r="N59" s="278">
        <v>4239</v>
      </c>
      <c r="O59" s="278">
        <v>4934</v>
      </c>
      <c r="P59" s="278">
        <v>6935</v>
      </c>
      <c r="Q59" s="278">
        <v>6954</v>
      </c>
      <c r="R59" s="278">
        <v>4850</v>
      </c>
      <c r="S59" s="278">
        <v>4482</v>
      </c>
      <c r="T59" s="278">
        <v>4242</v>
      </c>
      <c r="U59" s="278">
        <v>3598</v>
      </c>
      <c r="V59" s="278">
        <v>4455</v>
      </c>
      <c r="W59" s="278">
        <v>5558</v>
      </c>
      <c r="X59" s="278">
        <f>[9]summary!W52</f>
        <v>8019</v>
      </c>
      <c r="Y59" s="278">
        <f>[10]Summary!X52</f>
        <v>8464</v>
      </c>
      <c r="Z59" s="278">
        <f>[11]Summary!Z59</f>
        <v>7912</v>
      </c>
      <c r="AA59" s="278">
        <f>[11]Summary!AA59</f>
        <v>9160</v>
      </c>
      <c r="AB59" s="278"/>
      <c r="AC59" s="279"/>
    </row>
    <row r="60" spans="2:29" x14ac:dyDescent="0.25">
      <c r="B60" s="280" t="s">
        <v>16</v>
      </c>
      <c r="C60" s="281">
        <v>17348</v>
      </c>
      <c r="D60" s="281">
        <v>18035</v>
      </c>
      <c r="E60" s="281">
        <v>20400</v>
      </c>
      <c r="F60" s="281">
        <v>11988</v>
      </c>
      <c r="G60" s="281">
        <v>15257</v>
      </c>
      <c r="H60" s="281">
        <v>18120</v>
      </c>
      <c r="I60" s="281">
        <v>15334</v>
      </c>
      <c r="J60" s="281">
        <v>18639</v>
      </c>
      <c r="K60" s="281">
        <v>15094</v>
      </c>
      <c r="L60" s="281">
        <v>17496</v>
      </c>
      <c r="M60" s="281">
        <v>15402</v>
      </c>
      <c r="N60" s="281">
        <v>15079</v>
      </c>
      <c r="O60" s="281">
        <v>17882</v>
      </c>
      <c r="P60" s="281">
        <v>24395</v>
      </c>
      <c r="Q60" s="281">
        <v>24281</v>
      </c>
      <c r="R60" s="281">
        <v>16206</v>
      </c>
      <c r="S60" s="281">
        <v>14825</v>
      </c>
      <c r="T60" s="281">
        <v>14286</v>
      </c>
      <c r="U60" s="281">
        <v>13253</v>
      </c>
      <c r="V60" s="281">
        <v>15638</v>
      </c>
      <c r="W60" s="281">
        <v>18734</v>
      </c>
      <c r="X60" s="281">
        <f>[9]summary!W53</f>
        <v>25969</v>
      </c>
      <c r="Y60" s="281">
        <f>[10]Summary!X53</f>
        <v>27339</v>
      </c>
      <c r="Z60" s="281">
        <f>[11]Summary!Z60</f>
        <v>23093</v>
      </c>
      <c r="AA60" s="281">
        <f>[11]Summary!AA60</f>
        <v>26353</v>
      </c>
      <c r="AB60" s="281"/>
      <c r="AC60" s="283"/>
    </row>
    <row r="61" spans="2:29" x14ac:dyDescent="0.25">
      <c r="B61" s="268" t="s">
        <v>50</v>
      </c>
      <c r="C61" s="274">
        <v>6094</v>
      </c>
      <c r="D61" s="274">
        <v>6789</v>
      </c>
      <c r="E61" s="274">
        <v>6603</v>
      </c>
      <c r="F61" s="274">
        <v>3324</v>
      </c>
      <c r="G61" s="275">
        <v>5927</v>
      </c>
      <c r="H61" s="276">
        <v>5754</v>
      </c>
      <c r="I61" s="276">
        <v>5375</v>
      </c>
      <c r="J61" s="275">
        <v>5911</v>
      </c>
      <c r="K61" s="275">
        <v>4624</v>
      </c>
      <c r="L61" s="277">
        <v>6064</v>
      </c>
      <c r="M61" s="277">
        <v>6478</v>
      </c>
      <c r="N61" s="278">
        <v>5684</v>
      </c>
      <c r="O61" s="278">
        <v>7021</v>
      </c>
      <c r="P61" s="278">
        <v>7803</v>
      </c>
      <c r="Q61" s="278">
        <v>8588</v>
      </c>
      <c r="R61" s="278">
        <v>5408</v>
      </c>
      <c r="S61" s="278">
        <v>5999</v>
      </c>
      <c r="T61" s="278">
        <v>4909</v>
      </c>
      <c r="U61" s="278">
        <v>6020</v>
      </c>
      <c r="V61" s="278">
        <v>5359</v>
      </c>
      <c r="W61" s="278">
        <v>7359</v>
      </c>
      <c r="X61" s="278">
        <f>[9]summary!W54</f>
        <v>9939</v>
      </c>
      <c r="Y61" s="278">
        <f>[10]Summary!X54</f>
        <v>10950</v>
      </c>
      <c r="Z61" s="278">
        <f>[11]Summary!Z61</f>
        <v>9401</v>
      </c>
      <c r="AA61" s="278">
        <f>[11]Summary!AA61</f>
        <v>11008</v>
      </c>
      <c r="AB61" s="278"/>
      <c r="AC61" s="279"/>
    </row>
    <row r="62" spans="2:29" x14ac:dyDescent="0.25">
      <c r="B62" s="268" t="s">
        <v>51</v>
      </c>
      <c r="C62" s="274">
        <v>7846</v>
      </c>
      <c r="D62" s="274">
        <v>9185</v>
      </c>
      <c r="E62" s="274">
        <v>8611</v>
      </c>
      <c r="F62" s="274">
        <v>5913</v>
      </c>
      <c r="G62" s="275">
        <v>7271</v>
      </c>
      <c r="H62" s="276">
        <v>7045</v>
      </c>
      <c r="I62" s="276">
        <v>7971</v>
      </c>
      <c r="J62" s="275">
        <v>6852</v>
      </c>
      <c r="K62" s="275">
        <v>5694</v>
      </c>
      <c r="L62" s="277">
        <v>7596</v>
      </c>
      <c r="M62" s="277">
        <v>8091</v>
      </c>
      <c r="N62" s="278">
        <v>8395</v>
      </c>
      <c r="O62" s="278">
        <v>7088</v>
      </c>
      <c r="P62" s="278">
        <v>8871</v>
      </c>
      <c r="Q62" s="278">
        <v>8792</v>
      </c>
      <c r="R62" s="278">
        <v>6065</v>
      </c>
      <c r="S62" s="278">
        <v>4710</v>
      </c>
      <c r="T62" s="278">
        <v>6293</v>
      </c>
      <c r="U62" s="278">
        <v>5152</v>
      </c>
      <c r="V62" s="278">
        <v>7354</v>
      </c>
      <c r="W62" s="278">
        <v>9220</v>
      </c>
      <c r="X62" s="278">
        <f>[9]summary!W55</f>
        <v>10475</v>
      </c>
      <c r="Y62" s="278">
        <f>[10]Summary!X55</f>
        <v>11656</v>
      </c>
      <c r="Z62" s="278">
        <f>[11]Summary!Z62</f>
        <v>10288</v>
      </c>
      <c r="AA62" s="278">
        <f>[11]Summary!AA62</f>
        <v>10160</v>
      </c>
      <c r="AB62" s="278"/>
      <c r="AC62" s="279"/>
    </row>
    <row r="63" spans="2:29" x14ac:dyDescent="0.25">
      <c r="B63" s="268" t="s">
        <v>19</v>
      </c>
      <c r="C63" s="274">
        <v>4168</v>
      </c>
      <c r="D63" s="274">
        <v>4710</v>
      </c>
      <c r="E63" s="274">
        <v>877</v>
      </c>
      <c r="F63" s="274">
        <v>2288</v>
      </c>
      <c r="G63" s="275">
        <v>2597</v>
      </c>
      <c r="H63" s="276">
        <v>2683</v>
      </c>
      <c r="I63" s="276">
        <v>3108</v>
      </c>
      <c r="J63" s="275">
        <v>2630</v>
      </c>
      <c r="K63" s="275">
        <v>2334</v>
      </c>
      <c r="L63" s="277">
        <v>2980</v>
      </c>
      <c r="M63" s="277">
        <v>2515</v>
      </c>
      <c r="N63" s="278">
        <v>2987</v>
      </c>
      <c r="O63" s="278">
        <v>3559</v>
      </c>
      <c r="P63" s="278">
        <v>3871</v>
      </c>
      <c r="Q63" s="278">
        <v>3658</v>
      </c>
      <c r="R63" s="278">
        <v>2381</v>
      </c>
      <c r="S63" s="278">
        <v>2109</v>
      </c>
      <c r="T63" s="278">
        <v>2102</v>
      </c>
      <c r="U63" s="278">
        <v>2043</v>
      </c>
      <c r="V63" s="278">
        <v>2770</v>
      </c>
      <c r="W63" s="278">
        <v>3030</v>
      </c>
      <c r="X63" s="278">
        <f>[9]summary!W56</f>
        <v>4307</v>
      </c>
      <c r="Y63" s="278">
        <f>[10]Summary!X56</f>
        <v>4423</v>
      </c>
      <c r="Z63" s="278">
        <f>[11]Summary!Z63</f>
        <v>3768</v>
      </c>
      <c r="AA63" s="278">
        <f>[11]Summary!AA63</f>
        <v>302</v>
      </c>
      <c r="AB63" s="278"/>
      <c r="AC63" s="279"/>
    </row>
    <row r="64" spans="2:29" x14ac:dyDescent="0.25">
      <c r="B64" s="280" t="s">
        <v>20</v>
      </c>
      <c r="C64" s="281">
        <v>18108</v>
      </c>
      <c r="D64" s="281">
        <v>20684</v>
      </c>
      <c r="E64" s="281">
        <v>16091</v>
      </c>
      <c r="F64" s="281">
        <v>11525</v>
      </c>
      <c r="G64" s="281">
        <v>15795</v>
      </c>
      <c r="H64" s="281">
        <v>15482</v>
      </c>
      <c r="I64" s="281">
        <v>16454</v>
      </c>
      <c r="J64" s="281">
        <v>15393</v>
      </c>
      <c r="K64" s="281">
        <v>12652</v>
      </c>
      <c r="L64" s="281">
        <v>16640</v>
      </c>
      <c r="M64" s="281">
        <v>17084</v>
      </c>
      <c r="N64" s="281">
        <v>17066</v>
      </c>
      <c r="O64" s="281">
        <v>17668</v>
      </c>
      <c r="P64" s="281">
        <v>20545</v>
      </c>
      <c r="Q64" s="281">
        <v>21038</v>
      </c>
      <c r="R64" s="281">
        <v>13854</v>
      </c>
      <c r="S64" s="281">
        <v>12818</v>
      </c>
      <c r="T64" s="281">
        <v>13304</v>
      </c>
      <c r="U64" s="281">
        <v>13215</v>
      </c>
      <c r="V64" s="281">
        <v>15483</v>
      </c>
      <c r="W64" s="281">
        <v>19609</v>
      </c>
      <c r="X64" s="281">
        <f>[9]summary!W57</f>
        <v>24721</v>
      </c>
      <c r="Y64" s="281">
        <f>[10]Summary!X57</f>
        <v>27029</v>
      </c>
      <c r="Z64" s="281">
        <f>[11]Summary!Z64</f>
        <v>23457</v>
      </c>
      <c r="AA64" s="281">
        <f>[11]Summary!AA64</f>
        <v>21470</v>
      </c>
      <c r="AB64" s="281"/>
      <c r="AC64" s="283"/>
    </row>
    <row r="65" spans="2:30" x14ac:dyDescent="0.25">
      <c r="B65" s="268" t="s">
        <v>21</v>
      </c>
      <c r="C65" s="274">
        <v>4931</v>
      </c>
      <c r="D65" s="274">
        <v>5875</v>
      </c>
      <c r="E65" s="274">
        <v>823</v>
      </c>
      <c r="F65" s="274">
        <v>3755</v>
      </c>
      <c r="G65" s="275">
        <v>4449</v>
      </c>
      <c r="H65" s="276">
        <v>4182</v>
      </c>
      <c r="I65" s="276">
        <v>3431</v>
      </c>
      <c r="J65" s="275">
        <v>3652</v>
      </c>
      <c r="K65" s="275">
        <v>2758</v>
      </c>
      <c r="L65" s="277">
        <v>4231</v>
      </c>
      <c r="M65" s="277">
        <v>3735</v>
      </c>
      <c r="N65" s="278">
        <v>3640</v>
      </c>
      <c r="O65" s="278">
        <v>4084</v>
      </c>
      <c r="P65" s="278">
        <v>4782</v>
      </c>
      <c r="Q65" s="278">
        <v>3594</v>
      </c>
      <c r="R65" s="278">
        <v>2872</v>
      </c>
      <c r="S65" s="278">
        <v>3132</v>
      </c>
      <c r="T65" s="278">
        <v>2663</v>
      </c>
      <c r="U65" s="278">
        <v>2945</v>
      </c>
      <c r="V65" s="278">
        <v>3092</v>
      </c>
      <c r="W65" s="278">
        <v>4267</v>
      </c>
      <c r="X65" s="278">
        <f>[9]summary!W58</f>
        <v>4898</v>
      </c>
      <c r="Y65" s="278">
        <f>[10]Summary!X58</f>
        <v>4926</v>
      </c>
      <c r="Z65" s="278">
        <f>[11]Summary!Z65</f>
        <v>5389</v>
      </c>
      <c r="AA65" s="278">
        <f>[11]Summary!AA65</f>
        <v>231</v>
      </c>
      <c r="AB65" s="278"/>
      <c r="AC65" s="279"/>
      <c r="AD65" s="329"/>
    </row>
    <row r="66" spans="2:30" x14ac:dyDescent="0.25">
      <c r="B66" s="268" t="s">
        <v>22</v>
      </c>
      <c r="C66" s="274">
        <v>6215</v>
      </c>
      <c r="D66" s="274">
        <v>7510</v>
      </c>
      <c r="E66" s="274">
        <v>1213</v>
      </c>
      <c r="F66" s="274">
        <v>4801</v>
      </c>
      <c r="G66" s="275">
        <v>6007</v>
      </c>
      <c r="H66" s="276">
        <v>4154</v>
      </c>
      <c r="I66" s="276">
        <v>2960</v>
      </c>
      <c r="J66" s="275">
        <v>4723</v>
      </c>
      <c r="K66" s="275">
        <v>3812</v>
      </c>
      <c r="L66" s="277">
        <v>4659</v>
      </c>
      <c r="M66" s="277">
        <v>3703</v>
      </c>
      <c r="N66" s="278">
        <v>5364</v>
      </c>
      <c r="O66" s="278">
        <v>6627</v>
      </c>
      <c r="P66" s="278">
        <v>7742</v>
      </c>
      <c r="Q66" s="278">
        <v>3760</v>
      </c>
      <c r="R66" s="278">
        <v>4674</v>
      </c>
      <c r="S66" s="278">
        <v>3618</v>
      </c>
      <c r="T66" s="278">
        <v>3862</v>
      </c>
      <c r="U66" s="278">
        <v>4240</v>
      </c>
      <c r="V66" s="278">
        <v>4019</v>
      </c>
      <c r="W66" s="278">
        <v>5991</v>
      </c>
      <c r="X66" s="278">
        <f>[9]summary!W59</f>
        <v>7442</v>
      </c>
      <c r="Y66" s="278">
        <f>[10]Summary!X59</f>
        <v>7964</v>
      </c>
      <c r="Z66" s="278">
        <f>[11]Summary!Z66</f>
        <v>6431</v>
      </c>
      <c r="AA66" s="278">
        <f>[11]Summary!AA66</f>
        <v>1053</v>
      </c>
      <c r="AB66" s="278"/>
      <c r="AC66" s="279"/>
    </row>
    <row r="67" spans="2:30" x14ac:dyDescent="0.25">
      <c r="B67" s="268" t="s">
        <v>23</v>
      </c>
      <c r="C67" s="274">
        <v>6643</v>
      </c>
      <c r="D67" s="274">
        <v>7644</v>
      </c>
      <c r="E67" s="274">
        <v>1928</v>
      </c>
      <c r="F67" s="274">
        <v>5373</v>
      </c>
      <c r="G67" s="275">
        <v>6363</v>
      </c>
      <c r="H67" s="276">
        <v>4234</v>
      </c>
      <c r="I67" s="276">
        <v>3575</v>
      </c>
      <c r="J67" s="275">
        <v>5469</v>
      </c>
      <c r="K67" s="275">
        <v>3747</v>
      </c>
      <c r="L67" s="277">
        <v>5325</v>
      </c>
      <c r="M67" s="277">
        <v>5727</v>
      </c>
      <c r="N67" s="278">
        <v>7109</v>
      </c>
      <c r="O67" s="278">
        <v>9088</v>
      </c>
      <c r="P67" s="278">
        <v>8375</v>
      </c>
      <c r="Q67" s="278">
        <v>5145</v>
      </c>
      <c r="R67" s="278">
        <v>4088</v>
      </c>
      <c r="S67" s="278">
        <v>4743</v>
      </c>
      <c r="T67" s="278">
        <v>4675</v>
      </c>
      <c r="U67" s="278">
        <v>5309</v>
      </c>
      <c r="V67" s="278">
        <v>6334</v>
      </c>
      <c r="W67" s="278">
        <v>8573</v>
      </c>
      <c r="X67" s="278">
        <f>[9]summary!W60</f>
        <v>12387</v>
      </c>
      <c r="Y67" s="278">
        <f>[10]Summary!X60</f>
        <v>9712</v>
      </c>
      <c r="Z67" s="278">
        <f>[11]Summary!Z67</f>
        <v>8975</v>
      </c>
      <c r="AA67" s="278">
        <f>[11]Summary!AA67</f>
        <v>1636</v>
      </c>
      <c r="AB67" s="278"/>
      <c r="AC67" s="279"/>
    </row>
    <row r="68" spans="2:30" x14ac:dyDescent="0.25">
      <c r="B68" s="280" t="s">
        <v>24</v>
      </c>
      <c r="C68" s="281">
        <v>17789</v>
      </c>
      <c r="D68" s="281">
        <v>21029</v>
      </c>
      <c r="E68" s="281">
        <v>3964</v>
      </c>
      <c r="F68" s="281">
        <v>13929</v>
      </c>
      <c r="G68" s="281">
        <v>16819</v>
      </c>
      <c r="H68" s="281">
        <v>12570</v>
      </c>
      <c r="I68" s="281">
        <v>9966</v>
      </c>
      <c r="J68" s="281">
        <v>13844</v>
      </c>
      <c r="K68" s="281">
        <v>10317</v>
      </c>
      <c r="L68" s="281">
        <v>14215</v>
      </c>
      <c r="M68" s="281">
        <v>13165</v>
      </c>
      <c r="N68" s="281">
        <v>16113</v>
      </c>
      <c r="O68" s="281">
        <v>19799</v>
      </c>
      <c r="P68" s="281">
        <v>20899</v>
      </c>
      <c r="Q68" s="281">
        <v>12499</v>
      </c>
      <c r="R68" s="281">
        <v>11634</v>
      </c>
      <c r="S68" s="281">
        <v>11493</v>
      </c>
      <c r="T68" s="281">
        <v>11200</v>
      </c>
      <c r="U68" s="281">
        <v>12494</v>
      </c>
      <c r="V68" s="281">
        <v>13445</v>
      </c>
      <c r="W68" s="281">
        <v>18831</v>
      </c>
      <c r="X68" s="281">
        <f>[9]summary!W61</f>
        <v>24727</v>
      </c>
      <c r="Y68" s="281">
        <f>[10]Summary!X61</f>
        <v>22602</v>
      </c>
      <c r="Z68" s="281">
        <f>[11]Summary!Z68</f>
        <v>20795</v>
      </c>
      <c r="AA68" s="281">
        <f>[11]Summary!AA68</f>
        <v>2920</v>
      </c>
      <c r="AB68" s="281"/>
      <c r="AC68" s="283"/>
    </row>
    <row r="69" spans="2:30" ht="16.5" thickBot="1" x14ac:dyDescent="0.3">
      <c r="B69" s="284" t="s">
        <v>7</v>
      </c>
      <c r="C69" s="285">
        <v>73692</v>
      </c>
      <c r="D69" s="285">
        <v>82075</v>
      </c>
      <c r="E69" s="285">
        <v>68555</v>
      </c>
      <c r="F69" s="285">
        <v>48741</v>
      </c>
      <c r="G69" s="285">
        <v>70684</v>
      </c>
      <c r="H69" s="285">
        <v>69922</v>
      </c>
      <c r="I69" s="285">
        <v>59947</v>
      </c>
      <c r="J69" s="285">
        <v>68680</v>
      </c>
      <c r="K69" s="285">
        <v>57009</v>
      </c>
      <c r="L69" s="285">
        <v>67149</v>
      </c>
      <c r="M69" s="285">
        <v>62367</v>
      </c>
      <c r="N69" s="285">
        <v>66801</v>
      </c>
      <c r="O69" s="285">
        <v>81102</v>
      </c>
      <c r="P69" s="285">
        <v>94283</v>
      </c>
      <c r="Q69" s="285">
        <v>86415</v>
      </c>
      <c r="R69" s="285">
        <v>59577</v>
      </c>
      <c r="S69" s="285">
        <v>54224</v>
      </c>
      <c r="T69" s="285">
        <v>56413</v>
      </c>
      <c r="U69" s="285">
        <v>57775</v>
      </c>
      <c r="V69" s="285">
        <v>64693</v>
      </c>
      <c r="W69" s="285">
        <v>82235</v>
      </c>
      <c r="X69" s="285">
        <f>[9]summary!W62</f>
        <v>105863</v>
      </c>
      <c r="Y69" s="285">
        <f>[10]Summary!X62</f>
        <v>112836</v>
      </c>
      <c r="Z69" s="285">
        <f>[11]Summary!Z69</f>
        <v>96731</v>
      </c>
      <c r="AA69" s="285">
        <f>[11]Summary!AA69</f>
        <v>82424</v>
      </c>
      <c r="AB69" s="285">
        <f>AB68+AB64+AB60+AB56</f>
        <v>4469</v>
      </c>
      <c r="AC69" s="286"/>
    </row>
    <row r="70" spans="2:30" x14ac:dyDescent="0.25">
      <c r="B70" s="2"/>
      <c r="C70" s="21"/>
      <c r="D70" s="21"/>
      <c r="E70" s="21"/>
      <c r="F70" s="21"/>
      <c r="G70" s="21"/>
      <c r="H70" s="21"/>
      <c r="I70" s="21"/>
      <c r="J70" s="28"/>
      <c r="K70" s="28"/>
      <c r="L70" s="28"/>
      <c r="M70" s="28"/>
      <c r="N70" s="28"/>
      <c r="O70" s="28"/>
      <c r="P70" s="28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0"/>
    </row>
    <row r="71" spans="2:30" ht="20.25" x14ac:dyDescent="0.3">
      <c r="B71" s="287" t="s">
        <v>205</v>
      </c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0"/>
      <c r="W71" s="20"/>
      <c r="X71" s="20"/>
      <c r="Y71" s="20"/>
      <c r="Z71" s="20"/>
      <c r="AA71" s="20"/>
      <c r="AB71" s="20"/>
      <c r="AC71" s="20"/>
    </row>
    <row r="72" spans="2:30" s="263" customFormat="1" ht="24" x14ac:dyDescent="0.2">
      <c r="B72" s="264" t="s">
        <v>25</v>
      </c>
      <c r="C72" s="265">
        <v>1993</v>
      </c>
      <c r="D72" s="265">
        <v>1994</v>
      </c>
      <c r="E72" s="265">
        <v>1995</v>
      </c>
      <c r="F72" s="265">
        <v>1996</v>
      </c>
      <c r="G72" s="265">
        <v>1997</v>
      </c>
      <c r="H72" s="265">
        <v>1998</v>
      </c>
      <c r="I72" s="265">
        <v>1999</v>
      </c>
      <c r="J72" s="266">
        <v>2000</v>
      </c>
      <c r="K72" s="266">
        <v>2001</v>
      </c>
      <c r="L72" s="265">
        <v>2002</v>
      </c>
      <c r="M72" s="265">
        <v>2003</v>
      </c>
      <c r="N72" s="265">
        <v>2004</v>
      </c>
      <c r="O72" s="265">
        <v>2005</v>
      </c>
      <c r="P72" s="265">
        <v>2006</v>
      </c>
      <c r="Q72" s="265">
        <v>2007</v>
      </c>
      <c r="R72" s="265">
        <v>2008</v>
      </c>
      <c r="S72" s="265">
        <v>2009</v>
      </c>
      <c r="T72" s="265">
        <v>2010</v>
      </c>
      <c r="U72" s="265">
        <v>2011</v>
      </c>
      <c r="V72" s="265">
        <v>2012</v>
      </c>
      <c r="W72" s="265">
        <v>2013</v>
      </c>
      <c r="X72" s="265">
        <v>2014</v>
      </c>
      <c r="Y72" s="265">
        <v>2015</v>
      </c>
      <c r="Z72" s="265">
        <v>2016</v>
      </c>
      <c r="AA72" s="265">
        <v>2017</v>
      </c>
      <c r="AB72" s="265">
        <v>2018</v>
      </c>
      <c r="AC72" s="267" t="s">
        <v>218</v>
      </c>
    </row>
    <row r="73" spans="2:30" x14ac:dyDescent="0.25">
      <c r="B73" s="268" t="s">
        <v>9</v>
      </c>
      <c r="C73" s="269">
        <v>17057</v>
      </c>
      <c r="D73" s="269">
        <v>18872</v>
      </c>
      <c r="E73" s="269">
        <v>21902</v>
      </c>
      <c r="F73" s="269">
        <v>13469</v>
      </c>
      <c r="G73" s="270">
        <v>19422</v>
      </c>
      <c r="H73" s="271">
        <v>21508</v>
      </c>
      <c r="I73" s="271">
        <v>20331</v>
      </c>
      <c r="J73" s="270">
        <v>18178</v>
      </c>
      <c r="K73" s="270">
        <v>20570</v>
      </c>
      <c r="L73" s="272">
        <v>17197</v>
      </c>
      <c r="M73" s="272">
        <v>17603</v>
      </c>
      <c r="N73" s="273">
        <v>19413</v>
      </c>
      <c r="O73" s="273">
        <v>22369</v>
      </c>
      <c r="P73" s="273">
        <v>23759</v>
      </c>
      <c r="Q73" s="273">
        <v>27066</v>
      </c>
      <c r="R73" s="273">
        <v>23303</v>
      </c>
      <c r="S73" s="273">
        <v>19293</v>
      </c>
      <c r="T73" s="273">
        <v>19000</v>
      </c>
      <c r="U73" s="273">
        <v>19402</v>
      </c>
      <c r="V73" s="273">
        <v>20606</v>
      </c>
      <c r="W73" s="273">
        <v>21403</v>
      </c>
      <c r="X73" s="273">
        <f>[9]summary!W66</f>
        <v>24186</v>
      </c>
      <c r="Y73" s="273">
        <f>[10]Summary!X66</f>
        <v>27558</v>
      </c>
      <c r="Z73" s="273">
        <f>[11]Summary!Z73</f>
        <v>25036</v>
      </c>
      <c r="AA73" s="273">
        <f>[11]Summary!AA73</f>
        <v>25214</v>
      </c>
      <c r="AB73" s="273">
        <f>'Data Entry'!$F$4</f>
        <v>10642</v>
      </c>
      <c r="AC73" s="279">
        <f>(AB73-AA73)/AA73</f>
        <v>-0.57793289442373286</v>
      </c>
    </row>
    <row r="74" spans="2:30" x14ac:dyDescent="0.25">
      <c r="B74" s="268" t="s">
        <v>10</v>
      </c>
      <c r="C74" s="274">
        <v>17745</v>
      </c>
      <c r="D74" s="274">
        <v>19653</v>
      </c>
      <c r="E74" s="274">
        <v>21015</v>
      </c>
      <c r="F74" s="274">
        <v>15103</v>
      </c>
      <c r="G74" s="275">
        <v>18250</v>
      </c>
      <c r="H74" s="276">
        <v>20052</v>
      </c>
      <c r="I74" s="276">
        <v>18755</v>
      </c>
      <c r="J74" s="275">
        <v>20477</v>
      </c>
      <c r="K74" s="275">
        <v>19787</v>
      </c>
      <c r="L74" s="277">
        <v>18383</v>
      </c>
      <c r="M74" s="277">
        <v>17225</v>
      </c>
      <c r="N74" s="278">
        <v>19885</v>
      </c>
      <c r="O74" s="278">
        <v>22959</v>
      </c>
      <c r="P74" s="278">
        <v>23618</v>
      </c>
      <c r="Q74" s="278">
        <v>25662</v>
      </c>
      <c r="R74" s="278">
        <v>22277</v>
      </c>
      <c r="S74" s="278">
        <v>17390</v>
      </c>
      <c r="T74" s="278">
        <v>19746</v>
      </c>
      <c r="U74" s="278">
        <v>18615</v>
      </c>
      <c r="V74" s="278">
        <v>20444</v>
      </c>
      <c r="W74" s="278">
        <v>20662</v>
      </c>
      <c r="X74" s="278">
        <f>[9]summary!W67</f>
        <v>22061</v>
      </c>
      <c r="Y74" s="278">
        <f>[10]Summary!X67</f>
        <v>24641</v>
      </c>
      <c r="Z74" s="278">
        <f>[11]Summary!Z74</f>
        <v>23064</v>
      </c>
      <c r="AA74" s="278">
        <f>[11]Summary!AA74</f>
        <v>23386</v>
      </c>
      <c r="AB74" s="278">
        <f>'Data Entry'!$F$5</f>
        <v>5549</v>
      </c>
      <c r="AC74" s="279">
        <f>(AB74-AA74)/AA74</f>
        <v>-0.76272128623963054</v>
      </c>
    </row>
    <row r="75" spans="2:30" x14ac:dyDescent="0.25">
      <c r="B75" s="268" t="s">
        <v>47</v>
      </c>
      <c r="C75" s="274">
        <v>16435</v>
      </c>
      <c r="D75" s="274">
        <v>20929</v>
      </c>
      <c r="E75" s="274">
        <v>22605</v>
      </c>
      <c r="F75" s="274">
        <v>14834</v>
      </c>
      <c r="G75" s="275">
        <v>22936</v>
      </c>
      <c r="H75" s="276">
        <v>21886</v>
      </c>
      <c r="I75" s="276">
        <v>22869</v>
      </c>
      <c r="J75" s="275">
        <v>23231</v>
      </c>
      <c r="K75" s="275">
        <v>21364</v>
      </c>
      <c r="L75" s="277">
        <v>23055</v>
      </c>
      <c r="M75" s="277">
        <v>19681</v>
      </c>
      <c r="N75" s="278">
        <v>21213</v>
      </c>
      <c r="O75" s="278">
        <v>26510</v>
      </c>
      <c r="P75" s="278">
        <v>27240</v>
      </c>
      <c r="Q75" s="278">
        <v>30937</v>
      </c>
      <c r="R75" s="278">
        <v>25321</v>
      </c>
      <c r="S75" s="278">
        <v>20002</v>
      </c>
      <c r="T75" s="278">
        <v>21115</v>
      </c>
      <c r="U75" s="278">
        <v>22001</v>
      </c>
      <c r="V75" s="278">
        <v>22018</v>
      </c>
      <c r="W75" s="278">
        <v>25099</v>
      </c>
      <c r="X75" s="278">
        <f>[9]summary!W68</f>
        <v>25705</v>
      </c>
      <c r="Y75" s="278">
        <f>[10]Summary!X68</f>
        <v>28610</v>
      </c>
      <c r="Z75" s="278">
        <f>[11]Summary!Z75</f>
        <v>26820</v>
      </c>
      <c r="AA75" s="278">
        <f>[11]Summary!AA75</f>
        <v>26683</v>
      </c>
      <c r="AB75" s="278"/>
      <c r="AC75" s="279"/>
    </row>
    <row r="76" spans="2:30" x14ac:dyDescent="0.25">
      <c r="B76" s="280" t="s">
        <v>12</v>
      </c>
      <c r="C76" s="281">
        <v>51237</v>
      </c>
      <c r="D76" s="281">
        <v>59454</v>
      </c>
      <c r="E76" s="281">
        <v>65522</v>
      </c>
      <c r="F76" s="281">
        <v>43406</v>
      </c>
      <c r="G76" s="281">
        <v>60608</v>
      </c>
      <c r="H76" s="281">
        <v>63446</v>
      </c>
      <c r="I76" s="281">
        <v>61955</v>
      </c>
      <c r="J76" s="281">
        <v>61886</v>
      </c>
      <c r="K76" s="281">
        <v>61721</v>
      </c>
      <c r="L76" s="281">
        <v>58635</v>
      </c>
      <c r="M76" s="281">
        <v>54509</v>
      </c>
      <c r="N76" s="281">
        <v>60511</v>
      </c>
      <c r="O76" s="281">
        <v>71838</v>
      </c>
      <c r="P76" s="281">
        <v>74617</v>
      </c>
      <c r="Q76" s="281">
        <v>83665</v>
      </c>
      <c r="R76" s="281">
        <v>70901</v>
      </c>
      <c r="S76" s="281">
        <v>56685</v>
      </c>
      <c r="T76" s="281">
        <v>59861</v>
      </c>
      <c r="U76" s="281">
        <v>60018</v>
      </c>
      <c r="V76" s="281">
        <v>63067</v>
      </c>
      <c r="W76" s="281">
        <v>67164</v>
      </c>
      <c r="X76" s="281">
        <f>[9]summary!W69</f>
        <v>71952</v>
      </c>
      <c r="Y76" s="281">
        <f>[10]Summary!X69</f>
        <v>80809</v>
      </c>
      <c r="Z76" s="281">
        <f>[11]Summary!Z76</f>
        <v>74920</v>
      </c>
      <c r="AA76" s="281">
        <f>[11]Summary!AA76</f>
        <v>75283</v>
      </c>
      <c r="AB76" s="281">
        <f>SUM(AB73:AB75)</f>
        <v>16191</v>
      </c>
      <c r="AC76" s="283"/>
    </row>
    <row r="77" spans="2:30" x14ac:dyDescent="0.25">
      <c r="B77" s="268" t="s">
        <v>48</v>
      </c>
      <c r="C77" s="274">
        <v>18383</v>
      </c>
      <c r="D77" s="274">
        <v>19659</v>
      </c>
      <c r="E77" s="274">
        <v>22246</v>
      </c>
      <c r="F77" s="274">
        <v>16635</v>
      </c>
      <c r="G77" s="275">
        <v>17831</v>
      </c>
      <c r="H77" s="276">
        <v>21045</v>
      </c>
      <c r="I77" s="276">
        <v>20860</v>
      </c>
      <c r="J77" s="275">
        <v>21887</v>
      </c>
      <c r="K77" s="275">
        <v>22373</v>
      </c>
      <c r="L77" s="277">
        <v>20390</v>
      </c>
      <c r="M77" s="277">
        <v>19071</v>
      </c>
      <c r="N77" s="278">
        <v>22666</v>
      </c>
      <c r="O77" s="278">
        <v>22348</v>
      </c>
      <c r="P77" s="278">
        <v>29280</v>
      </c>
      <c r="Q77" s="278">
        <v>29012</v>
      </c>
      <c r="R77" s="278">
        <v>21795</v>
      </c>
      <c r="S77" s="278">
        <v>20530</v>
      </c>
      <c r="T77" s="278">
        <v>19776</v>
      </c>
      <c r="U77" s="278">
        <v>20716</v>
      </c>
      <c r="V77" s="278">
        <v>20114</v>
      </c>
      <c r="W77" s="278">
        <v>21093</v>
      </c>
      <c r="X77" s="278">
        <f>[9]summary!W70</f>
        <v>25037</v>
      </c>
      <c r="Y77" s="278">
        <f>[10]Summary!X70</f>
        <v>26993</v>
      </c>
      <c r="Z77" s="278">
        <f>[11]Summary!Z77</f>
        <v>23367</v>
      </c>
      <c r="AA77" s="278">
        <f>[11]Summary!AA77</f>
        <v>27087</v>
      </c>
      <c r="AB77" s="278"/>
      <c r="AC77" s="279"/>
    </row>
    <row r="78" spans="2:30" x14ac:dyDescent="0.25">
      <c r="B78" s="268" t="s">
        <v>14</v>
      </c>
      <c r="C78" s="274">
        <v>15301</v>
      </c>
      <c r="D78" s="274">
        <v>16872</v>
      </c>
      <c r="E78" s="274">
        <v>16973</v>
      </c>
      <c r="F78" s="274">
        <v>14983</v>
      </c>
      <c r="G78" s="275">
        <v>17136</v>
      </c>
      <c r="H78" s="276">
        <v>18694</v>
      </c>
      <c r="I78" s="276">
        <v>18264</v>
      </c>
      <c r="J78" s="275">
        <v>19448</v>
      </c>
      <c r="K78" s="275">
        <v>18443</v>
      </c>
      <c r="L78" s="277">
        <v>18874</v>
      </c>
      <c r="M78" s="277">
        <v>19072</v>
      </c>
      <c r="N78" s="278">
        <v>19351</v>
      </c>
      <c r="O78" s="278">
        <v>19863</v>
      </c>
      <c r="P78" s="278">
        <v>23241</v>
      </c>
      <c r="Q78" s="278">
        <v>25015</v>
      </c>
      <c r="R78" s="278">
        <v>22939</v>
      </c>
      <c r="S78" s="278">
        <v>17103</v>
      </c>
      <c r="T78" s="278">
        <v>17939</v>
      </c>
      <c r="U78" s="278">
        <v>17660</v>
      </c>
      <c r="V78" s="278">
        <v>17767</v>
      </c>
      <c r="W78" s="278">
        <v>18603</v>
      </c>
      <c r="X78" s="278">
        <f>[9]summary!W71</f>
        <v>20801</v>
      </c>
      <c r="Y78" s="278">
        <f>[10]Summary!X71</f>
        <v>21041</v>
      </c>
      <c r="Z78" s="278">
        <f>[11]Summary!Z78</f>
        <v>21011</v>
      </c>
      <c r="AA78" s="278">
        <f>[11]Summary!AA78</f>
        <v>21711</v>
      </c>
      <c r="AB78" s="278"/>
      <c r="AC78" s="279"/>
    </row>
    <row r="79" spans="2:30" x14ac:dyDescent="0.25">
      <c r="B79" s="268" t="s">
        <v>49</v>
      </c>
      <c r="C79" s="274">
        <v>13010</v>
      </c>
      <c r="D79" s="274">
        <v>13885</v>
      </c>
      <c r="E79" s="274">
        <v>15007</v>
      </c>
      <c r="F79" s="274">
        <v>12878</v>
      </c>
      <c r="G79" s="275">
        <v>14349</v>
      </c>
      <c r="H79" s="276">
        <v>15877</v>
      </c>
      <c r="I79" s="276">
        <v>16282</v>
      </c>
      <c r="J79" s="275">
        <v>18049</v>
      </c>
      <c r="K79" s="275">
        <v>16967</v>
      </c>
      <c r="L79" s="277">
        <v>16502</v>
      </c>
      <c r="M79" s="277">
        <v>15711</v>
      </c>
      <c r="N79" s="278">
        <v>17568</v>
      </c>
      <c r="O79" s="278">
        <v>18804</v>
      </c>
      <c r="P79" s="278">
        <v>22145</v>
      </c>
      <c r="Q79" s="278">
        <v>23683</v>
      </c>
      <c r="R79" s="278">
        <v>20180</v>
      </c>
      <c r="S79" s="278">
        <v>17077</v>
      </c>
      <c r="T79" s="278">
        <v>15781</v>
      </c>
      <c r="U79" s="278">
        <v>15943</v>
      </c>
      <c r="V79" s="278">
        <v>16394</v>
      </c>
      <c r="W79" s="278">
        <v>18088</v>
      </c>
      <c r="X79" s="278">
        <f>[9]summary!W72</f>
        <v>20063</v>
      </c>
      <c r="Y79" s="278">
        <f>[10]Summary!X72</f>
        <v>20164</v>
      </c>
      <c r="Z79" s="278">
        <f>[11]Summary!Z79</f>
        <v>19631</v>
      </c>
      <c r="AA79" s="278">
        <f>[11]Summary!AA79</f>
        <v>22300</v>
      </c>
      <c r="AB79" s="278"/>
      <c r="AC79" s="279"/>
    </row>
    <row r="80" spans="2:30" x14ac:dyDescent="0.25">
      <c r="B80" s="280" t="s">
        <v>16</v>
      </c>
      <c r="C80" s="281">
        <v>46694</v>
      </c>
      <c r="D80" s="281">
        <v>50416</v>
      </c>
      <c r="E80" s="281">
        <v>54226</v>
      </c>
      <c r="F80" s="281">
        <v>44496</v>
      </c>
      <c r="G80" s="281">
        <v>49316</v>
      </c>
      <c r="H80" s="281">
        <v>55616</v>
      </c>
      <c r="I80" s="281">
        <v>55406</v>
      </c>
      <c r="J80" s="281">
        <v>59384</v>
      </c>
      <c r="K80" s="281">
        <v>57783</v>
      </c>
      <c r="L80" s="281">
        <v>55766</v>
      </c>
      <c r="M80" s="281">
        <v>53854</v>
      </c>
      <c r="N80" s="281">
        <v>59585</v>
      </c>
      <c r="O80" s="281">
        <v>61015</v>
      </c>
      <c r="P80" s="281">
        <v>74666</v>
      </c>
      <c r="Q80" s="281">
        <v>77710</v>
      </c>
      <c r="R80" s="281">
        <v>64894</v>
      </c>
      <c r="S80" s="281">
        <v>54710</v>
      </c>
      <c r="T80" s="281">
        <v>53496</v>
      </c>
      <c r="U80" s="281">
        <v>54319</v>
      </c>
      <c r="V80" s="281">
        <v>54275</v>
      </c>
      <c r="W80" s="281">
        <v>57784</v>
      </c>
      <c r="X80" s="281">
        <f>[9]summary!W73</f>
        <v>65901</v>
      </c>
      <c r="Y80" s="281">
        <f>[10]Summary!X73</f>
        <v>68198</v>
      </c>
      <c r="Z80" s="281">
        <f>[11]Summary!Z80</f>
        <v>64009</v>
      </c>
      <c r="AA80" s="281">
        <f>[11]Summary!AA80</f>
        <v>71098</v>
      </c>
      <c r="AB80" s="281"/>
      <c r="AC80" s="283"/>
    </row>
    <row r="81" spans="2:30" x14ac:dyDescent="0.25">
      <c r="B81" s="268" t="s">
        <v>50</v>
      </c>
      <c r="C81" s="274">
        <v>17667</v>
      </c>
      <c r="D81" s="274">
        <v>19374</v>
      </c>
      <c r="E81" s="274">
        <v>18868</v>
      </c>
      <c r="F81" s="274">
        <v>13415</v>
      </c>
      <c r="G81" s="275">
        <v>18582</v>
      </c>
      <c r="H81" s="276">
        <v>19180</v>
      </c>
      <c r="I81" s="276">
        <v>21162</v>
      </c>
      <c r="J81" s="275">
        <v>21335</v>
      </c>
      <c r="K81" s="275">
        <v>19480</v>
      </c>
      <c r="L81" s="277">
        <v>19684</v>
      </c>
      <c r="M81" s="277">
        <v>21251</v>
      </c>
      <c r="N81" s="278">
        <v>22915</v>
      </c>
      <c r="O81" s="278">
        <v>23874</v>
      </c>
      <c r="P81" s="278">
        <v>25971</v>
      </c>
      <c r="Q81" s="278">
        <v>27506</v>
      </c>
      <c r="R81" s="278">
        <v>23647</v>
      </c>
      <c r="S81" s="278">
        <v>20124</v>
      </c>
      <c r="T81" s="278">
        <v>20138</v>
      </c>
      <c r="U81" s="278">
        <v>21349</v>
      </c>
      <c r="V81" s="278">
        <v>19014</v>
      </c>
      <c r="W81" s="278">
        <v>20410</v>
      </c>
      <c r="X81" s="278">
        <f>[9]summary!W74</f>
        <v>23583</v>
      </c>
      <c r="Y81" s="278">
        <f>[10]Summary!X74</f>
        <v>26183</v>
      </c>
      <c r="Z81" s="278">
        <f>[11]Summary!Z81</f>
        <v>26994</v>
      </c>
      <c r="AA81" s="278">
        <f>[11]Summary!AA81</f>
        <v>26954</v>
      </c>
      <c r="AB81" s="278"/>
      <c r="AC81" s="279"/>
    </row>
    <row r="82" spans="2:30" x14ac:dyDescent="0.25">
      <c r="B82" s="268" t="s">
        <v>51</v>
      </c>
      <c r="C82" s="274">
        <v>18924</v>
      </c>
      <c r="D82" s="274">
        <v>21300</v>
      </c>
      <c r="E82" s="274">
        <v>22018</v>
      </c>
      <c r="F82" s="274">
        <v>18597</v>
      </c>
      <c r="G82" s="275">
        <v>21238</v>
      </c>
      <c r="H82" s="276">
        <v>21337</v>
      </c>
      <c r="I82" s="276">
        <v>23064</v>
      </c>
      <c r="J82" s="275">
        <v>21881</v>
      </c>
      <c r="K82" s="275">
        <v>21224</v>
      </c>
      <c r="L82" s="277">
        <v>22176</v>
      </c>
      <c r="M82" s="277">
        <v>23277</v>
      </c>
      <c r="N82" s="278">
        <v>24132</v>
      </c>
      <c r="O82" s="278">
        <v>22398</v>
      </c>
      <c r="P82" s="278">
        <v>26584</v>
      </c>
      <c r="Q82" s="278">
        <v>28596</v>
      </c>
      <c r="R82" s="278">
        <v>25244</v>
      </c>
      <c r="S82" s="278">
        <v>20428</v>
      </c>
      <c r="T82" s="278">
        <v>19715</v>
      </c>
      <c r="U82" s="278">
        <v>16979</v>
      </c>
      <c r="V82" s="278">
        <v>20943</v>
      </c>
      <c r="W82" s="278">
        <v>23622</v>
      </c>
      <c r="X82" s="278">
        <f>[9]summary!W75</f>
        <v>25217</v>
      </c>
      <c r="Y82" s="278">
        <f>[10]Summary!X75</f>
        <v>24788</v>
      </c>
      <c r="Z82" s="278">
        <f>[11]Summary!Z82</f>
        <v>23700</v>
      </c>
      <c r="AA82" s="278">
        <f>[11]Summary!AA82</f>
        <v>26147</v>
      </c>
      <c r="AB82" s="278"/>
      <c r="AC82" s="279"/>
    </row>
    <row r="83" spans="2:30" x14ac:dyDescent="0.25">
      <c r="B83" s="268" t="s">
        <v>19</v>
      </c>
      <c r="C83" s="274">
        <v>11615</v>
      </c>
      <c r="D83" s="274">
        <v>12308</v>
      </c>
      <c r="E83" s="274">
        <v>5875</v>
      </c>
      <c r="F83" s="274">
        <v>8971</v>
      </c>
      <c r="G83" s="275">
        <v>9696</v>
      </c>
      <c r="H83" s="276">
        <v>10239</v>
      </c>
      <c r="I83" s="276">
        <v>12422</v>
      </c>
      <c r="J83" s="275">
        <v>11443</v>
      </c>
      <c r="K83" s="275">
        <v>10685</v>
      </c>
      <c r="L83" s="277">
        <v>10570</v>
      </c>
      <c r="M83" s="277">
        <v>10982</v>
      </c>
      <c r="N83" s="278">
        <v>12418</v>
      </c>
      <c r="O83" s="278">
        <v>12371</v>
      </c>
      <c r="P83" s="278">
        <v>15229</v>
      </c>
      <c r="Q83" s="278">
        <v>15532</v>
      </c>
      <c r="R83" s="278">
        <v>12676</v>
      </c>
      <c r="S83" s="278">
        <v>10413</v>
      </c>
      <c r="T83" s="278">
        <v>10216</v>
      </c>
      <c r="U83" s="278">
        <v>9494</v>
      </c>
      <c r="V83" s="278">
        <v>10906</v>
      </c>
      <c r="W83" s="278">
        <v>10537</v>
      </c>
      <c r="X83" s="278">
        <f>[9]summary!W76</f>
        <v>12317</v>
      </c>
      <c r="Y83" s="278">
        <f>[10]Summary!X76</f>
        <v>12516</v>
      </c>
      <c r="Z83" s="278">
        <f>[11]Summary!Z83</f>
        <v>12468</v>
      </c>
      <c r="AA83" s="278">
        <f>[11]Summary!AA83</f>
        <v>2045</v>
      </c>
      <c r="AB83" s="278"/>
      <c r="AC83" s="279"/>
    </row>
    <row r="84" spans="2:30" x14ac:dyDescent="0.25">
      <c r="B84" s="280" t="s">
        <v>20</v>
      </c>
      <c r="C84" s="281">
        <v>48206</v>
      </c>
      <c r="D84" s="281">
        <v>52982</v>
      </c>
      <c r="E84" s="281">
        <v>46760</v>
      </c>
      <c r="F84" s="281">
        <v>40983</v>
      </c>
      <c r="G84" s="281">
        <v>49516</v>
      </c>
      <c r="H84" s="281">
        <v>50756</v>
      </c>
      <c r="I84" s="281">
        <v>56648</v>
      </c>
      <c r="J84" s="281">
        <v>54659</v>
      </c>
      <c r="K84" s="281">
        <v>51389</v>
      </c>
      <c r="L84" s="281">
        <v>52430</v>
      </c>
      <c r="M84" s="281">
        <v>55510</v>
      </c>
      <c r="N84" s="281">
        <v>59465</v>
      </c>
      <c r="O84" s="281">
        <v>58643</v>
      </c>
      <c r="P84" s="281">
        <v>67784</v>
      </c>
      <c r="Q84" s="281">
        <v>71634</v>
      </c>
      <c r="R84" s="281">
        <v>61567</v>
      </c>
      <c r="S84" s="281">
        <v>50965</v>
      </c>
      <c r="T84" s="281">
        <v>50069</v>
      </c>
      <c r="U84" s="281">
        <v>47822</v>
      </c>
      <c r="V84" s="281">
        <v>50863</v>
      </c>
      <c r="W84" s="281">
        <v>54569</v>
      </c>
      <c r="X84" s="281">
        <f>[9]summary!W77</f>
        <v>61117</v>
      </c>
      <c r="Y84" s="281">
        <f>[10]Summary!X77</f>
        <v>63487</v>
      </c>
      <c r="Z84" s="281">
        <f>[11]Summary!Z84</f>
        <v>63162</v>
      </c>
      <c r="AA84" s="281">
        <f>[11]Summary!AA84</f>
        <v>55146</v>
      </c>
      <c r="AB84" s="281"/>
      <c r="AC84" s="283"/>
    </row>
    <row r="85" spans="2:30" x14ac:dyDescent="0.25">
      <c r="B85" s="268" t="s">
        <v>21</v>
      </c>
      <c r="C85" s="274">
        <v>14012</v>
      </c>
      <c r="D85" s="274">
        <v>15399</v>
      </c>
      <c r="E85" s="274">
        <v>6685</v>
      </c>
      <c r="F85" s="274">
        <v>12587</v>
      </c>
      <c r="G85" s="275">
        <v>13524</v>
      </c>
      <c r="H85" s="276">
        <v>13751</v>
      </c>
      <c r="I85" s="276">
        <v>12907</v>
      </c>
      <c r="J85" s="275">
        <v>13196</v>
      </c>
      <c r="K85" s="275">
        <v>11007</v>
      </c>
      <c r="L85" s="277">
        <v>11482</v>
      </c>
      <c r="M85" s="277">
        <v>13341</v>
      </c>
      <c r="N85" s="278">
        <v>14048</v>
      </c>
      <c r="O85" s="278">
        <v>14032</v>
      </c>
      <c r="P85" s="278">
        <v>16546</v>
      </c>
      <c r="Q85" s="278">
        <v>16385</v>
      </c>
      <c r="R85" s="278">
        <v>13255</v>
      </c>
      <c r="S85" s="278">
        <v>14007</v>
      </c>
      <c r="T85" s="278">
        <v>12921</v>
      </c>
      <c r="U85" s="278">
        <v>12538</v>
      </c>
      <c r="V85" s="278">
        <v>12208</v>
      </c>
      <c r="W85" s="278">
        <v>12912</v>
      </c>
      <c r="X85" s="278">
        <f>[9]summary!W78</f>
        <v>13143</v>
      </c>
      <c r="Y85" s="278">
        <f>[10]Summary!X78</f>
        <v>14156</v>
      </c>
      <c r="Z85" s="278">
        <f>[11]Summary!Z85</f>
        <v>15670</v>
      </c>
      <c r="AA85" s="278">
        <f>[11]Summary!AA85</f>
        <v>3006</v>
      </c>
      <c r="AB85" s="278"/>
      <c r="AC85" s="279"/>
    </row>
    <row r="86" spans="2:30" x14ac:dyDescent="0.25">
      <c r="B86" s="268" t="s">
        <v>22</v>
      </c>
      <c r="C86" s="274">
        <v>16103</v>
      </c>
      <c r="D86" s="274">
        <v>17241</v>
      </c>
      <c r="E86" s="274">
        <v>8304</v>
      </c>
      <c r="F86" s="274">
        <v>15368</v>
      </c>
      <c r="G86" s="275">
        <v>17106</v>
      </c>
      <c r="H86" s="276">
        <v>14423</v>
      </c>
      <c r="I86" s="276">
        <v>11750</v>
      </c>
      <c r="J86" s="275">
        <v>16436</v>
      </c>
      <c r="K86" s="275">
        <v>14545</v>
      </c>
      <c r="L86" s="277">
        <v>16389</v>
      </c>
      <c r="M86" s="277">
        <v>15842</v>
      </c>
      <c r="N86" s="278">
        <v>17707</v>
      </c>
      <c r="O86" s="278">
        <v>20012</v>
      </c>
      <c r="P86" s="278">
        <v>22945</v>
      </c>
      <c r="Q86" s="278">
        <v>20053</v>
      </c>
      <c r="R86" s="278">
        <v>18599</v>
      </c>
      <c r="S86" s="278">
        <v>15850</v>
      </c>
      <c r="T86" s="278">
        <v>15810</v>
      </c>
      <c r="U86" s="278">
        <v>16397</v>
      </c>
      <c r="V86" s="278">
        <v>15308</v>
      </c>
      <c r="W86" s="278">
        <v>17671</v>
      </c>
      <c r="X86" s="278">
        <f>[9]summary!W79</f>
        <v>19872</v>
      </c>
      <c r="Y86" s="278">
        <f>[10]Summary!X79</f>
        <v>20220</v>
      </c>
      <c r="Z86" s="278">
        <f>[11]Summary!Z86</f>
        <v>19124</v>
      </c>
      <c r="AA86" s="278">
        <f>[11]Summary!AA86</f>
        <v>6481</v>
      </c>
      <c r="AB86" s="278"/>
      <c r="AC86" s="279"/>
    </row>
    <row r="87" spans="2:30" x14ac:dyDescent="0.25">
      <c r="B87" s="268" t="s">
        <v>23</v>
      </c>
      <c r="C87" s="274">
        <v>20781</v>
      </c>
      <c r="D87" s="274">
        <v>23197</v>
      </c>
      <c r="E87" s="274">
        <v>14604</v>
      </c>
      <c r="F87" s="274">
        <v>20139</v>
      </c>
      <c r="G87" s="275">
        <v>22619</v>
      </c>
      <c r="H87" s="276">
        <v>20935</v>
      </c>
      <c r="I87" s="276">
        <v>20451</v>
      </c>
      <c r="J87" s="275">
        <v>24285</v>
      </c>
      <c r="K87" s="275">
        <v>19545</v>
      </c>
      <c r="L87" s="277">
        <v>20780</v>
      </c>
      <c r="M87" s="277">
        <v>24467</v>
      </c>
      <c r="N87" s="278">
        <v>26287</v>
      </c>
      <c r="O87" s="278">
        <v>28214</v>
      </c>
      <c r="P87" s="278">
        <v>30620</v>
      </c>
      <c r="Q87" s="278">
        <v>27403</v>
      </c>
      <c r="R87" s="278">
        <v>22031</v>
      </c>
      <c r="S87" s="278">
        <v>21903</v>
      </c>
      <c r="T87" s="278">
        <v>21695</v>
      </c>
      <c r="U87" s="278">
        <v>21311</v>
      </c>
      <c r="V87" s="278">
        <v>22560</v>
      </c>
      <c r="W87" s="278">
        <v>24481</v>
      </c>
      <c r="X87" s="278">
        <f>[9]summary!W80</f>
        <v>30142</v>
      </c>
      <c r="Y87" s="278">
        <f>[10]Summary!X80</f>
        <v>26278</v>
      </c>
      <c r="Z87" s="278">
        <f>[11]Summary!Z87</f>
        <v>25817</v>
      </c>
      <c r="AA87" s="278">
        <f>[11]Summary!AA87</f>
        <v>10782</v>
      </c>
      <c r="AB87" s="278"/>
      <c r="AC87" s="279"/>
    </row>
    <row r="88" spans="2:30" x14ac:dyDescent="0.25">
      <c r="B88" s="280" t="s">
        <v>24</v>
      </c>
      <c r="C88" s="281">
        <v>50896</v>
      </c>
      <c r="D88" s="281">
        <v>55837</v>
      </c>
      <c r="E88" s="281">
        <v>29593</v>
      </c>
      <c r="F88" s="281">
        <v>48094</v>
      </c>
      <c r="G88" s="281">
        <v>53249</v>
      </c>
      <c r="H88" s="281">
        <v>49109</v>
      </c>
      <c r="I88" s="281">
        <v>45108</v>
      </c>
      <c r="J88" s="281">
        <v>53917</v>
      </c>
      <c r="K88" s="281">
        <v>45097</v>
      </c>
      <c r="L88" s="281">
        <v>48651</v>
      </c>
      <c r="M88" s="281">
        <v>53650</v>
      </c>
      <c r="N88" s="281">
        <v>58042</v>
      </c>
      <c r="O88" s="281">
        <v>62258</v>
      </c>
      <c r="P88" s="281">
        <v>70111</v>
      </c>
      <c r="Q88" s="281">
        <v>63841</v>
      </c>
      <c r="R88" s="281">
        <v>53885</v>
      </c>
      <c r="S88" s="281">
        <v>51760</v>
      </c>
      <c r="T88" s="281">
        <v>50426</v>
      </c>
      <c r="U88" s="281">
        <v>50246</v>
      </c>
      <c r="V88" s="281">
        <v>50076</v>
      </c>
      <c r="W88" s="281">
        <v>55064</v>
      </c>
      <c r="X88" s="281">
        <f>[9]summary!W81</f>
        <v>63157</v>
      </c>
      <c r="Y88" s="281">
        <f>[10]Summary!X81</f>
        <v>60654</v>
      </c>
      <c r="Z88" s="281">
        <f>[11]Summary!Z88</f>
        <v>60611</v>
      </c>
      <c r="AA88" s="281">
        <f>[11]Summary!AA88</f>
        <v>20269</v>
      </c>
      <c r="AB88" s="281"/>
      <c r="AC88" s="283"/>
    </row>
    <row r="89" spans="2:30" ht="16.5" thickBot="1" x14ac:dyDescent="0.3">
      <c r="B89" s="284" t="s">
        <v>7</v>
      </c>
      <c r="C89" s="285">
        <v>197033</v>
      </c>
      <c r="D89" s="285">
        <v>218689</v>
      </c>
      <c r="E89" s="285">
        <v>196101</v>
      </c>
      <c r="F89" s="285">
        <v>176979</v>
      </c>
      <c r="G89" s="285">
        <v>212689</v>
      </c>
      <c r="H89" s="285">
        <v>218927</v>
      </c>
      <c r="I89" s="285">
        <v>219117</v>
      </c>
      <c r="J89" s="285">
        <v>229846</v>
      </c>
      <c r="K89" s="285">
        <v>215990</v>
      </c>
      <c r="L89" s="285">
        <v>215482</v>
      </c>
      <c r="M89" s="285">
        <v>217523</v>
      </c>
      <c r="N89" s="285">
        <v>237603</v>
      </c>
      <c r="O89" s="285">
        <v>253754</v>
      </c>
      <c r="P89" s="285">
        <v>287178</v>
      </c>
      <c r="Q89" s="285">
        <v>296850</v>
      </c>
      <c r="R89" s="285">
        <v>251247</v>
      </c>
      <c r="S89" s="285">
        <v>214120</v>
      </c>
      <c r="T89" s="285">
        <v>213852</v>
      </c>
      <c r="U89" s="285">
        <v>212405</v>
      </c>
      <c r="V89" s="285">
        <v>218281</v>
      </c>
      <c r="W89" s="285">
        <v>234581</v>
      </c>
      <c r="X89" s="285">
        <f>[9]summary!W82</f>
        <v>262127</v>
      </c>
      <c r="Y89" s="285">
        <f>[10]Summary!X82</f>
        <v>273148</v>
      </c>
      <c r="Z89" s="285">
        <f>[11]Summary!Z89</f>
        <v>262702</v>
      </c>
      <c r="AA89" s="285">
        <f>[11]Summary!AA89</f>
        <v>221796</v>
      </c>
      <c r="AB89" s="285">
        <f>AB88+AB84+AB80+AB76</f>
        <v>16191</v>
      </c>
      <c r="AC89" s="286"/>
    </row>
    <row r="90" spans="2:30" x14ac:dyDescent="0.25"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6"/>
      <c r="R90" s="3"/>
      <c r="AB90" s="12"/>
      <c r="AC90" s="12"/>
    </row>
    <row r="91" spans="2:30" ht="20.25" x14ac:dyDescent="0.3">
      <c r="B91" s="287" t="s">
        <v>206</v>
      </c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0"/>
      <c r="W91" s="20"/>
      <c r="X91" s="20"/>
      <c r="Y91" s="20"/>
      <c r="Z91" s="20"/>
      <c r="AA91" s="20"/>
      <c r="AB91" s="20"/>
      <c r="AC91" s="20"/>
    </row>
    <row r="92" spans="2:30" s="263" customFormat="1" ht="24.75" x14ac:dyDescent="0.25">
      <c r="B92" s="264" t="s">
        <v>25</v>
      </c>
      <c r="C92" s="265">
        <v>1993</v>
      </c>
      <c r="D92" s="265">
        <v>1994</v>
      </c>
      <c r="E92" s="265">
        <v>1995</v>
      </c>
      <c r="F92" s="265">
        <v>1996</v>
      </c>
      <c r="G92" s="265">
        <v>1997</v>
      </c>
      <c r="H92" s="265">
        <v>1998</v>
      </c>
      <c r="I92" s="265">
        <v>1999</v>
      </c>
      <c r="J92" s="266">
        <v>2000</v>
      </c>
      <c r="K92" s="266">
        <v>2001</v>
      </c>
      <c r="L92" s="265">
        <v>2002</v>
      </c>
      <c r="M92" s="265">
        <v>2003</v>
      </c>
      <c r="N92" s="265">
        <v>2004</v>
      </c>
      <c r="O92" s="265">
        <v>2005</v>
      </c>
      <c r="P92" s="265">
        <v>2006</v>
      </c>
      <c r="Q92" s="265">
        <v>2007</v>
      </c>
      <c r="R92" s="265">
        <v>2008</v>
      </c>
      <c r="S92" s="265">
        <v>2009</v>
      </c>
      <c r="T92" s="265">
        <v>2010</v>
      </c>
      <c r="U92" s="265">
        <v>2011</v>
      </c>
      <c r="V92" s="265">
        <v>2012</v>
      </c>
      <c r="W92" s="265">
        <v>2013</v>
      </c>
      <c r="X92" s="265">
        <v>2014</v>
      </c>
      <c r="Y92" s="265">
        <v>2015</v>
      </c>
      <c r="Z92" s="265">
        <v>2016</v>
      </c>
      <c r="AA92" s="265">
        <v>2017</v>
      </c>
      <c r="AB92" s="265">
        <v>2018</v>
      </c>
      <c r="AC92" s="267" t="s">
        <v>218</v>
      </c>
      <c r="AD92" s="258"/>
    </row>
    <row r="93" spans="2:30" x14ac:dyDescent="0.25">
      <c r="B93" s="268" t="s">
        <v>9</v>
      </c>
      <c r="C93" s="269">
        <v>17780</v>
      </c>
      <c r="D93" s="269">
        <v>19411</v>
      </c>
      <c r="E93" s="269">
        <v>22310</v>
      </c>
      <c r="F93" s="269">
        <v>13231</v>
      </c>
      <c r="G93" s="270">
        <v>19670</v>
      </c>
      <c r="H93" s="271">
        <v>21622</v>
      </c>
      <c r="I93" s="271">
        <v>20606</v>
      </c>
      <c r="J93" s="270">
        <v>18611</v>
      </c>
      <c r="K93" s="270">
        <v>21323</v>
      </c>
      <c r="L93" s="272">
        <v>17856</v>
      </c>
      <c r="M93" s="272">
        <v>18105</v>
      </c>
      <c r="N93" s="273">
        <v>20143</v>
      </c>
      <c r="O93" s="273">
        <v>22308</v>
      </c>
      <c r="P93" s="273">
        <v>23270</v>
      </c>
      <c r="Q93" s="273">
        <v>27553</v>
      </c>
      <c r="R93" s="273">
        <v>23053</v>
      </c>
      <c r="S93" s="273">
        <v>19521</v>
      </c>
      <c r="T93" s="273">
        <v>19354</v>
      </c>
      <c r="U93" s="273">
        <v>20296</v>
      </c>
      <c r="V93" s="273">
        <v>20681</v>
      </c>
      <c r="W93" s="273">
        <v>22173</v>
      </c>
      <c r="X93" s="273">
        <f>[9]summary!W86</f>
        <v>24411</v>
      </c>
      <c r="Y93" s="273">
        <f>[10]Summary!X86</f>
        <v>28428</v>
      </c>
      <c r="Z93" s="273">
        <f>[11]Summary!Z93</f>
        <v>25143</v>
      </c>
      <c r="AA93" s="273">
        <f>[11]Summary!AA93</f>
        <v>26107</v>
      </c>
      <c r="AB93" s="273">
        <f>'Data Entry'!$F$19</f>
        <v>9963</v>
      </c>
      <c r="AC93" s="279">
        <f>(AB93-AA93)/AA93</f>
        <v>-0.61837821273987814</v>
      </c>
    </row>
    <row r="94" spans="2:30" x14ac:dyDescent="0.25">
      <c r="B94" s="268" t="s">
        <v>10</v>
      </c>
      <c r="C94" s="274">
        <v>17362</v>
      </c>
      <c r="D94" s="274">
        <v>19166</v>
      </c>
      <c r="E94" s="274">
        <v>20282</v>
      </c>
      <c r="F94" s="274">
        <v>14878</v>
      </c>
      <c r="G94" s="275">
        <v>17539</v>
      </c>
      <c r="H94" s="276">
        <v>19858</v>
      </c>
      <c r="I94" s="276">
        <v>18082</v>
      </c>
      <c r="J94" s="275">
        <v>20061</v>
      </c>
      <c r="K94" s="275">
        <v>18880</v>
      </c>
      <c r="L94" s="277">
        <v>17877</v>
      </c>
      <c r="M94" s="277">
        <v>16813</v>
      </c>
      <c r="N94" s="278">
        <v>19606</v>
      </c>
      <c r="O94" s="278">
        <v>21841</v>
      </c>
      <c r="P94" s="278">
        <v>22814</v>
      </c>
      <c r="Q94" s="278">
        <v>23916</v>
      </c>
      <c r="R94" s="278">
        <v>21569</v>
      </c>
      <c r="S94" s="278">
        <v>17072</v>
      </c>
      <c r="T94" s="278">
        <v>19198</v>
      </c>
      <c r="U94" s="278">
        <v>17004</v>
      </c>
      <c r="V94" s="278">
        <v>20556</v>
      </c>
      <c r="W94" s="278">
        <v>20118</v>
      </c>
      <c r="X94" s="278">
        <f>[9]summary!W87</f>
        <v>21842</v>
      </c>
      <c r="Y94" s="278">
        <f>[10]Summary!X87</f>
        <v>24135</v>
      </c>
      <c r="Z94" s="278">
        <f>[11]Summary!Z94</f>
        <v>22544</v>
      </c>
      <c r="AA94" s="278">
        <f>[11]Summary!AA94</f>
        <v>23457</v>
      </c>
      <c r="AB94" s="278">
        <f>'Data Entry'!$F$20</f>
        <v>6066</v>
      </c>
      <c r="AC94" s="279">
        <f>(AB94-AA94)/AA94</f>
        <v>-0.74139915590228933</v>
      </c>
    </row>
    <row r="95" spans="2:30" x14ac:dyDescent="0.25">
      <c r="B95" s="268" t="s">
        <v>47</v>
      </c>
      <c r="C95" s="274">
        <v>16870</v>
      </c>
      <c r="D95" s="274">
        <v>20641</v>
      </c>
      <c r="E95" s="274">
        <v>23140</v>
      </c>
      <c r="F95" s="274">
        <v>14818</v>
      </c>
      <c r="G95" s="275">
        <v>23072</v>
      </c>
      <c r="H95" s="276">
        <v>22380</v>
      </c>
      <c r="I95" s="276">
        <v>22173</v>
      </c>
      <c r="J95" s="275">
        <v>22943</v>
      </c>
      <c r="K95" s="275">
        <v>21154</v>
      </c>
      <c r="L95" s="277">
        <v>22381</v>
      </c>
      <c r="M95" s="277">
        <v>19428</v>
      </c>
      <c r="N95" s="278">
        <v>21043</v>
      </c>
      <c r="O95" s="278">
        <v>26109</v>
      </c>
      <c r="P95" s="278">
        <v>27272</v>
      </c>
      <c r="Q95" s="278">
        <v>29858</v>
      </c>
      <c r="R95" s="278">
        <v>24835</v>
      </c>
      <c r="S95" s="278">
        <v>20031</v>
      </c>
      <c r="T95" s="278">
        <v>20576</v>
      </c>
      <c r="U95" s="278">
        <v>21668</v>
      </c>
      <c r="V95" s="278">
        <v>21701</v>
      </c>
      <c r="W95" s="278">
        <v>24801</v>
      </c>
      <c r="X95" s="278">
        <f>[9]summary!W88</f>
        <v>26223</v>
      </c>
      <c r="Y95" s="278">
        <f>[10]Summary!X88</f>
        <v>28266</v>
      </c>
      <c r="Z95" s="278">
        <f>[11]Summary!Z95</f>
        <v>26587</v>
      </c>
      <c r="AA95" s="278">
        <f>[11]Summary!AA95</f>
        <v>26969</v>
      </c>
      <c r="AB95" s="278"/>
      <c r="AC95" s="279"/>
    </row>
    <row r="96" spans="2:30" x14ac:dyDescent="0.25">
      <c r="B96" s="280" t="s">
        <v>12</v>
      </c>
      <c r="C96" s="281">
        <v>52013</v>
      </c>
      <c r="D96" s="281">
        <v>59218</v>
      </c>
      <c r="E96" s="281">
        <v>65732</v>
      </c>
      <c r="F96" s="281">
        <v>42927</v>
      </c>
      <c r="G96" s="281">
        <v>60281</v>
      </c>
      <c r="H96" s="281">
        <v>63860</v>
      </c>
      <c r="I96" s="281">
        <v>60861</v>
      </c>
      <c r="J96" s="281">
        <v>61615</v>
      </c>
      <c r="K96" s="281">
        <v>61357</v>
      </c>
      <c r="L96" s="281">
        <v>58114</v>
      </c>
      <c r="M96" s="281">
        <v>54346</v>
      </c>
      <c r="N96" s="281">
        <v>60792</v>
      </c>
      <c r="O96" s="281">
        <v>70258</v>
      </c>
      <c r="P96" s="281">
        <v>73356</v>
      </c>
      <c r="Q96" s="281">
        <v>81327</v>
      </c>
      <c r="R96" s="281">
        <v>69457</v>
      </c>
      <c r="S96" s="281">
        <v>56624</v>
      </c>
      <c r="T96" s="281">
        <v>59128</v>
      </c>
      <c r="U96" s="281">
        <v>58968</v>
      </c>
      <c r="V96" s="281">
        <v>62938</v>
      </c>
      <c r="W96" s="281">
        <v>67092</v>
      </c>
      <c r="X96" s="281">
        <f>[9]summary!W89</f>
        <v>72476</v>
      </c>
      <c r="Y96" s="281">
        <f>[10]Summary!X89</f>
        <v>80829</v>
      </c>
      <c r="Z96" s="281">
        <f>[11]Summary!Z96</f>
        <v>74274</v>
      </c>
      <c r="AA96" s="281">
        <f>[11]Summary!AA96</f>
        <v>76533</v>
      </c>
      <c r="AB96" s="281">
        <f>SUM(AB93:AB95)</f>
        <v>16029</v>
      </c>
      <c r="AC96" s="283"/>
    </row>
    <row r="97" spans="2:29" x14ac:dyDescent="0.25">
      <c r="B97" s="268" t="s">
        <v>48</v>
      </c>
      <c r="C97" s="274">
        <v>18377</v>
      </c>
      <c r="D97" s="274">
        <v>20032</v>
      </c>
      <c r="E97" s="274">
        <v>22433</v>
      </c>
      <c r="F97" s="274">
        <v>16538</v>
      </c>
      <c r="G97" s="275">
        <v>17737</v>
      </c>
      <c r="H97" s="276">
        <v>20647</v>
      </c>
      <c r="I97" s="276">
        <v>21284</v>
      </c>
      <c r="J97" s="275">
        <v>22018</v>
      </c>
      <c r="K97" s="275">
        <v>21958</v>
      </c>
      <c r="L97" s="277">
        <v>20843</v>
      </c>
      <c r="M97" s="277">
        <v>19014</v>
      </c>
      <c r="N97" s="278">
        <v>22643</v>
      </c>
      <c r="O97" s="278">
        <v>22253</v>
      </c>
      <c r="P97" s="278">
        <v>28807</v>
      </c>
      <c r="Q97" s="278">
        <v>29132</v>
      </c>
      <c r="R97" s="278">
        <v>21089</v>
      </c>
      <c r="S97" s="278">
        <v>20144</v>
      </c>
      <c r="T97" s="278">
        <v>20341</v>
      </c>
      <c r="U97" s="278">
        <v>21344</v>
      </c>
      <c r="V97" s="278">
        <v>20706</v>
      </c>
      <c r="W97" s="278">
        <v>22128</v>
      </c>
      <c r="X97" s="278">
        <f>[9]summary!W90</f>
        <v>25018</v>
      </c>
      <c r="Y97" s="278">
        <f>[10]Summary!X90</f>
        <v>27653</v>
      </c>
      <c r="Z97" s="278">
        <f>[11]Summary!Z97</f>
        <v>24356</v>
      </c>
      <c r="AA97" s="278">
        <f>[11]Summary!AA97</f>
        <v>27869</v>
      </c>
      <c r="AB97" s="278"/>
      <c r="AC97" s="279"/>
    </row>
    <row r="98" spans="2:29" x14ac:dyDescent="0.25">
      <c r="B98" s="268" t="s">
        <v>14</v>
      </c>
      <c r="C98" s="274">
        <v>14936</v>
      </c>
      <c r="D98" s="274">
        <v>16677</v>
      </c>
      <c r="E98" s="274">
        <v>16617</v>
      </c>
      <c r="F98" s="274">
        <v>14848</v>
      </c>
      <c r="G98" s="275">
        <v>16714</v>
      </c>
      <c r="H98" s="276">
        <v>18621</v>
      </c>
      <c r="I98" s="276">
        <v>18073</v>
      </c>
      <c r="J98" s="275">
        <v>18047</v>
      </c>
      <c r="K98" s="275">
        <v>18294</v>
      </c>
      <c r="L98" s="277">
        <v>18916</v>
      </c>
      <c r="M98" s="277">
        <v>18397</v>
      </c>
      <c r="N98" s="278">
        <v>18935</v>
      </c>
      <c r="O98" s="278">
        <v>18500</v>
      </c>
      <c r="P98" s="278">
        <v>22623</v>
      </c>
      <c r="Q98" s="278">
        <v>23808</v>
      </c>
      <c r="R98" s="278">
        <v>22145</v>
      </c>
      <c r="S98" s="278">
        <v>17320</v>
      </c>
      <c r="T98" s="278">
        <v>17641</v>
      </c>
      <c r="U98" s="278">
        <v>17937</v>
      </c>
      <c r="V98" s="278">
        <v>17456</v>
      </c>
      <c r="W98" s="278">
        <v>17967</v>
      </c>
      <c r="X98" s="278">
        <f>[9]summary!W91</f>
        <v>20196</v>
      </c>
      <c r="Y98" s="278">
        <f>[10]Summary!X91</f>
        <v>20657</v>
      </c>
      <c r="Z98" s="278">
        <f>[11]Summary!Z98</f>
        <v>20204</v>
      </c>
      <c r="AA98" s="278">
        <f>[11]Summary!AA98</f>
        <v>20674</v>
      </c>
      <c r="AB98" s="278"/>
      <c r="AC98" s="279"/>
    </row>
    <row r="99" spans="2:29" x14ac:dyDescent="0.25">
      <c r="B99" s="268" t="s">
        <v>49</v>
      </c>
      <c r="C99" s="274">
        <v>12828</v>
      </c>
      <c r="D99" s="274">
        <v>13631</v>
      </c>
      <c r="E99" s="274">
        <v>15808</v>
      </c>
      <c r="F99" s="274">
        <v>12455</v>
      </c>
      <c r="G99" s="275">
        <v>14383</v>
      </c>
      <c r="H99" s="276">
        <v>15542</v>
      </c>
      <c r="I99" s="276">
        <v>16231</v>
      </c>
      <c r="J99" s="275">
        <v>17562</v>
      </c>
      <c r="K99" s="275">
        <v>16605</v>
      </c>
      <c r="L99" s="277">
        <v>16223</v>
      </c>
      <c r="M99" s="277">
        <v>15701</v>
      </c>
      <c r="N99" s="278">
        <v>17528</v>
      </c>
      <c r="O99" s="278">
        <v>17187</v>
      </c>
      <c r="P99" s="278">
        <v>21749</v>
      </c>
      <c r="Q99" s="278">
        <v>23288</v>
      </c>
      <c r="R99" s="278">
        <v>19392</v>
      </c>
      <c r="S99" s="278">
        <v>16358</v>
      </c>
      <c r="T99" s="278">
        <v>15453</v>
      </c>
      <c r="U99" s="278">
        <v>15654</v>
      </c>
      <c r="V99" s="278">
        <v>16123</v>
      </c>
      <c r="W99" s="278">
        <v>18021</v>
      </c>
      <c r="X99" s="278">
        <f>[9]summary!W92</f>
        <v>19867</v>
      </c>
      <c r="Y99" s="278">
        <f>[10]Summary!X92</f>
        <v>20010</v>
      </c>
      <c r="Z99" s="278">
        <f>[11]Summary!Z99</f>
        <v>19327</v>
      </c>
      <c r="AA99" s="278">
        <f>[11]Summary!AA99</f>
        <v>22165</v>
      </c>
      <c r="AB99" s="278"/>
      <c r="AC99" s="279"/>
    </row>
    <row r="100" spans="2:29" x14ac:dyDescent="0.25">
      <c r="B100" s="280" t="s">
        <v>16</v>
      </c>
      <c r="C100" s="281">
        <v>46141</v>
      </c>
      <c r="D100" s="281">
        <v>50340</v>
      </c>
      <c r="E100" s="281">
        <v>54858</v>
      </c>
      <c r="F100" s="281">
        <v>43841</v>
      </c>
      <c r="G100" s="281">
        <v>48834</v>
      </c>
      <c r="H100" s="281">
        <v>54810</v>
      </c>
      <c r="I100" s="281">
        <v>55588</v>
      </c>
      <c r="J100" s="281">
        <v>57627</v>
      </c>
      <c r="K100" s="281">
        <v>56857</v>
      </c>
      <c r="L100" s="281">
        <v>55982</v>
      </c>
      <c r="M100" s="281">
        <v>53112</v>
      </c>
      <c r="N100" s="281">
        <v>59106</v>
      </c>
      <c r="O100" s="281">
        <v>57940</v>
      </c>
      <c r="P100" s="281">
        <v>73179</v>
      </c>
      <c r="Q100" s="281">
        <v>76228</v>
      </c>
      <c r="R100" s="281">
        <v>62626</v>
      </c>
      <c r="S100" s="281">
        <v>53822</v>
      </c>
      <c r="T100" s="281">
        <v>53435</v>
      </c>
      <c r="U100" s="281">
        <v>54935</v>
      </c>
      <c r="V100" s="281">
        <v>54285</v>
      </c>
      <c r="W100" s="281">
        <v>58116</v>
      </c>
      <c r="X100" s="281">
        <f>[9]summary!W93</f>
        <v>65081</v>
      </c>
      <c r="Y100" s="281">
        <f>[10]Summary!X93</f>
        <v>68320</v>
      </c>
      <c r="Z100" s="281">
        <f>[11]Summary!Z100</f>
        <v>63887</v>
      </c>
      <c r="AA100" s="281">
        <f>[11]Summary!AA100</f>
        <v>70708</v>
      </c>
      <c r="AB100" s="281"/>
      <c r="AC100" s="283"/>
    </row>
    <row r="101" spans="2:29" x14ac:dyDescent="0.25">
      <c r="B101" s="268" t="s">
        <v>50</v>
      </c>
      <c r="C101" s="274">
        <v>15998</v>
      </c>
      <c r="D101" s="274">
        <v>17617</v>
      </c>
      <c r="E101" s="274">
        <v>18288</v>
      </c>
      <c r="F101" s="274">
        <v>12547</v>
      </c>
      <c r="G101" s="275">
        <v>17464</v>
      </c>
      <c r="H101" s="276">
        <v>18067</v>
      </c>
      <c r="I101" s="276">
        <v>19336</v>
      </c>
      <c r="J101" s="275">
        <v>20830</v>
      </c>
      <c r="K101" s="275">
        <v>18549</v>
      </c>
      <c r="L101" s="277">
        <v>19003</v>
      </c>
      <c r="M101" s="277">
        <v>20092</v>
      </c>
      <c r="N101" s="278">
        <v>21576</v>
      </c>
      <c r="O101" s="278">
        <v>19938</v>
      </c>
      <c r="P101" s="278">
        <v>25211</v>
      </c>
      <c r="Q101" s="278">
        <v>26183</v>
      </c>
      <c r="R101" s="278">
        <v>21619</v>
      </c>
      <c r="S101" s="278">
        <v>19027</v>
      </c>
      <c r="T101" s="278">
        <v>18501</v>
      </c>
      <c r="U101" s="278">
        <v>18387</v>
      </c>
      <c r="V101" s="278">
        <v>18209</v>
      </c>
      <c r="W101" s="278">
        <v>20127</v>
      </c>
      <c r="X101" s="278">
        <f>[9]summary!W94</f>
        <v>22384</v>
      </c>
      <c r="Y101" s="278">
        <f>[10]Summary!X94</f>
        <v>23844</v>
      </c>
      <c r="Z101" s="278">
        <f>[11]Summary!Z101</f>
        <v>22814</v>
      </c>
      <c r="AA101" s="278">
        <f>[11]Summary!AA101</f>
        <v>26307</v>
      </c>
      <c r="AB101" s="278"/>
      <c r="AC101" s="279"/>
    </row>
    <row r="102" spans="2:29" x14ac:dyDescent="0.25">
      <c r="B102" s="268" t="s">
        <v>51</v>
      </c>
      <c r="C102" s="274">
        <v>20241</v>
      </c>
      <c r="D102" s="274">
        <v>22906</v>
      </c>
      <c r="E102" s="274">
        <v>22409</v>
      </c>
      <c r="F102" s="274">
        <v>19176</v>
      </c>
      <c r="G102" s="275">
        <v>21983</v>
      </c>
      <c r="H102" s="276">
        <v>22352</v>
      </c>
      <c r="I102" s="276">
        <v>24516</v>
      </c>
      <c r="J102" s="275">
        <v>22577</v>
      </c>
      <c r="K102" s="275">
        <v>21836</v>
      </c>
      <c r="L102" s="277">
        <v>22795</v>
      </c>
      <c r="M102" s="277">
        <v>24478</v>
      </c>
      <c r="N102" s="278">
        <v>26160</v>
      </c>
      <c r="O102" s="278">
        <v>22239</v>
      </c>
      <c r="P102" s="278">
        <v>27326</v>
      </c>
      <c r="Q102" s="278">
        <v>30106</v>
      </c>
      <c r="R102" s="278">
        <v>25548</v>
      </c>
      <c r="S102" s="278">
        <v>20943</v>
      </c>
      <c r="T102" s="278">
        <v>20875</v>
      </c>
      <c r="U102" s="278">
        <v>20189</v>
      </c>
      <c r="V102" s="278">
        <v>21632</v>
      </c>
      <c r="W102" s="278">
        <v>24604</v>
      </c>
      <c r="X102" s="278">
        <f>[9]summary!W95</f>
        <v>26637</v>
      </c>
      <c r="Y102" s="278">
        <f>[10]Summary!X95</f>
        <v>26982</v>
      </c>
      <c r="Z102" s="278">
        <f>[11]Summary!Z102</f>
        <v>27577</v>
      </c>
      <c r="AA102" s="278">
        <f>[11]Summary!AA102</f>
        <v>29615</v>
      </c>
      <c r="AB102" s="278"/>
      <c r="AC102" s="279"/>
    </row>
    <row r="103" spans="2:29" x14ac:dyDescent="0.25">
      <c r="B103" s="268" t="s">
        <v>19</v>
      </c>
      <c r="C103" s="274">
        <v>11484</v>
      </c>
      <c r="D103" s="274">
        <v>12189</v>
      </c>
      <c r="E103" s="274">
        <v>5968</v>
      </c>
      <c r="F103" s="274">
        <v>8867</v>
      </c>
      <c r="G103" s="275">
        <v>9628</v>
      </c>
      <c r="H103" s="276">
        <v>10492</v>
      </c>
      <c r="I103" s="276">
        <v>12266</v>
      </c>
      <c r="J103" s="275">
        <v>11745</v>
      </c>
      <c r="K103" s="275">
        <v>10920</v>
      </c>
      <c r="L103" s="277">
        <v>10838</v>
      </c>
      <c r="M103" s="277">
        <v>11135</v>
      </c>
      <c r="N103" s="278">
        <v>12848</v>
      </c>
      <c r="O103" s="278">
        <v>11209</v>
      </c>
      <c r="P103" s="278">
        <v>14891</v>
      </c>
      <c r="Q103" s="278">
        <v>15664</v>
      </c>
      <c r="R103" s="278">
        <v>12904</v>
      </c>
      <c r="S103" s="278">
        <v>11226</v>
      </c>
      <c r="T103" s="278">
        <v>10525</v>
      </c>
      <c r="U103" s="278">
        <v>9659</v>
      </c>
      <c r="V103" s="278">
        <v>11297</v>
      </c>
      <c r="W103" s="278">
        <v>10791</v>
      </c>
      <c r="X103" s="278">
        <f>[9]summary!W96</f>
        <v>12197</v>
      </c>
      <c r="Y103" s="278">
        <f>[10]Summary!X96</f>
        <v>12345</v>
      </c>
      <c r="Z103" s="278">
        <f>[11]Summary!Z103</f>
        <v>12294</v>
      </c>
      <c r="AA103" s="278">
        <f>[11]Summary!AA103</f>
        <v>2382</v>
      </c>
      <c r="AB103" s="278"/>
      <c r="AC103" s="279"/>
    </row>
    <row r="104" spans="2:29" x14ac:dyDescent="0.25">
      <c r="B104" s="280" t="s">
        <v>20</v>
      </c>
      <c r="C104" s="281">
        <v>47723</v>
      </c>
      <c r="D104" s="281">
        <v>52712</v>
      </c>
      <c r="E104" s="281">
        <v>46665</v>
      </c>
      <c r="F104" s="281">
        <v>40590</v>
      </c>
      <c r="G104" s="281">
        <v>49075</v>
      </c>
      <c r="H104" s="281">
        <v>50911</v>
      </c>
      <c r="I104" s="281">
        <v>56118</v>
      </c>
      <c r="J104" s="281">
        <v>55152</v>
      </c>
      <c r="K104" s="281">
        <v>51305</v>
      </c>
      <c r="L104" s="281">
        <v>52636</v>
      </c>
      <c r="M104" s="281">
        <v>55705</v>
      </c>
      <c r="N104" s="281">
        <v>60584</v>
      </c>
      <c r="O104" s="281">
        <v>53386</v>
      </c>
      <c r="P104" s="281">
        <v>67428</v>
      </c>
      <c r="Q104" s="281">
        <v>71953</v>
      </c>
      <c r="R104" s="281">
        <v>60071</v>
      </c>
      <c r="S104" s="281">
        <v>51196</v>
      </c>
      <c r="T104" s="281">
        <v>49901</v>
      </c>
      <c r="U104" s="281">
        <v>48225</v>
      </c>
      <c r="V104" s="281">
        <v>51138</v>
      </c>
      <c r="W104" s="281">
        <v>55522</v>
      </c>
      <c r="X104" s="281">
        <f>[9]summary!W97</f>
        <v>61218</v>
      </c>
      <c r="Y104" s="281">
        <f>[10]Summary!X97</f>
        <v>63171</v>
      </c>
      <c r="Z104" s="281">
        <f>[11]Summary!Z104</f>
        <v>62685</v>
      </c>
      <c r="AA104" s="281">
        <f>[11]Summary!AA104</f>
        <v>58304</v>
      </c>
      <c r="AB104" s="281"/>
      <c r="AC104" s="283"/>
    </row>
    <row r="105" spans="2:29" x14ac:dyDescent="0.25">
      <c r="B105" s="268" t="s">
        <v>21</v>
      </c>
      <c r="C105" s="274">
        <v>13391</v>
      </c>
      <c r="D105" s="274">
        <v>14577</v>
      </c>
      <c r="E105" s="274">
        <v>6483</v>
      </c>
      <c r="F105" s="274">
        <v>11939</v>
      </c>
      <c r="G105" s="275">
        <v>12866</v>
      </c>
      <c r="H105" s="276">
        <v>13098</v>
      </c>
      <c r="I105" s="276">
        <v>12212</v>
      </c>
      <c r="J105" s="275">
        <v>12688</v>
      </c>
      <c r="K105" s="275">
        <v>10199</v>
      </c>
      <c r="L105" s="277">
        <v>12057</v>
      </c>
      <c r="M105" s="277">
        <v>12547</v>
      </c>
      <c r="N105" s="278">
        <v>13323</v>
      </c>
      <c r="O105" s="278">
        <v>12199</v>
      </c>
      <c r="P105" s="278">
        <v>15412</v>
      </c>
      <c r="Q105" s="278">
        <v>15156</v>
      </c>
      <c r="R105" s="278">
        <v>12466</v>
      </c>
      <c r="S105" s="278">
        <v>13258</v>
      </c>
      <c r="T105" s="278">
        <v>12428</v>
      </c>
      <c r="U105" s="278">
        <v>11799</v>
      </c>
      <c r="V105" s="278">
        <v>11469</v>
      </c>
      <c r="W105" s="278">
        <v>12286</v>
      </c>
      <c r="X105" s="278">
        <f>[9]summary!W98</f>
        <v>12441</v>
      </c>
      <c r="Y105" s="278">
        <f>[10]Summary!X98</f>
        <v>13310</v>
      </c>
      <c r="Z105" s="278">
        <f>[11]Summary!Z105</f>
        <v>14632</v>
      </c>
      <c r="AA105" s="278">
        <f>[11]Summary!AA105</f>
        <v>2840</v>
      </c>
      <c r="AB105" s="278"/>
      <c r="AC105" s="279"/>
    </row>
    <row r="106" spans="2:29" x14ac:dyDescent="0.25">
      <c r="B106" s="268" t="s">
        <v>22</v>
      </c>
      <c r="C106" s="274">
        <v>15703</v>
      </c>
      <c r="D106" s="274">
        <v>17189</v>
      </c>
      <c r="E106" s="274">
        <v>7802</v>
      </c>
      <c r="F106" s="274">
        <v>14754</v>
      </c>
      <c r="G106" s="275">
        <v>16396</v>
      </c>
      <c r="H106" s="276">
        <v>13654</v>
      </c>
      <c r="I106" s="276">
        <v>12013</v>
      </c>
      <c r="J106" s="275">
        <v>16163</v>
      </c>
      <c r="K106" s="275">
        <v>13565</v>
      </c>
      <c r="L106" s="277">
        <v>15429</v>
      </c>
      <c r="M106" s="277">
        <v>14992</v>
      </c>
      <c r="N106" s="278">
        <v>17324</v>
      </c>
      <c r="O106" s="278">
        <v>18863</v>
      </c>
      <c r="P106" s="278">
        <v>21888</v>
      </c>
      <c r="Q106" s="278">
        <v>18953</v>
      </c>
      <c r="R106" s="278">
        <v>17308</v>
      </c>
      <c r="S106" s="278">
        <v>15023</v>
      </c>
      <c r="T106" s="278">
        <v>15109</v>
      </c>
      <c r="U106" s="278">
        <v>15788</v>
      </c>
      <c r="V106" s="278">
        <v>14902</v>
      </c>
      <c r="W106" s="278">
        <v>17759</v>
      </c>
      <c r="X106" s="278">
        <f>[9]summary!W99</f>
        <v>18955</v>
      </c>
      <c r="Y106" s="278">
        <f>[10]Summary!X99</f>
        <v>17016</v>
      </c>
      <c r="Z106" s="278">
        <f>[11]Summary!Z106</f>
        <v>18434</v>
      </c>
      <c r="AA106" s="278">
        <f>[11]Summary!AA106</f>
        <v>6163</v>
      </c>
      <c r="AB106" s="278"/>
      <c r="AC106" s="279"/>
    </row>
    <row r="107" spans="2:29" x14ac:dyDescent="0.25">
      <c r="B107" s="268" t="s">
        <v>23</v>
      </c>
      <c r="C107" s="274">
        <v>19566</v>
      </c>
      <c r="D107" s="274">
        <v>21787</v>
      </c>
      <c r="E107" s="274">
        <v>13681</v>
      </c>
      <c r="F107" s="274">
        <v>19154</v>
      </c>
      <c r="G107" s="275">
        <v>21412</v>
      </c>
      <c r="H107" s="276">
        <v>19624</v>
      </c>
      <c r="I107" s="276">
        <v>18968</v>
      </c>
      <c r="J107" s="275">
        <v>22254</v>
      </c>
      <c r="K107" s="275">
        <v>18450</v>
      </c>
      <c r="L107" s="277">
        <v>20967</v>
      </c>
      <c r="M107" s="277">
        <v>23034</v>
      </c>
      <c r="N107" s="278">
        <v>24324</v>
      </c>
      <c r="O107" s="278">
        <v>26653</v>
      </c>
      <c r="P107" s="278">
        <v>28886</v>
      </c>
      <c r="Q107" s="278">
        <v>25338</v>
      </c>
      <c r="R107" s="278">
        <v>20950</v>
      </c>
      <c r="S107" s="278">
        <v>20511</v>
      </c>
      <c r="T107" s="278">
        <v>19688</v>
      </c>
      <c r="U107" s="278">
        <v>19765</v>
      </c>
      <c r="V107" s="278">
        <v>20742</v>
      </c>
      <c r="W107" s="278">
        <v>23109</v>
      </c>
      <c r="X107" s="278">
        <f>[9]summary!W100</f>
        <v>28161</v>
      </c>
      <c r="Y107" s="278">
        <f>[10]Summary!X100</f>
        <v>24937</v>
      </c>
      <c r="Z107" s="278">
        <f>[11]Summary!Z107</f>
        <v>24265</v>
      </c>
      <c r="AA107" s="278">
        <f>[11]Summary!AA107</f>
        <v>10666</v>
      </c>
      <c r="AB107" s="278"/>
      <c r="AC107" s="279"/>
    </row>
    <row r="108" spans="2:29" x14ac:dyDescent="0.25">
      <c r="B108" s="280" t="s">
        <v>24</v>
      </c>
      <c r="C108" s="281">
        <v>48660</v>
      </c>
      <c r="D108" s="281">
        <v>53553</v>
      </c>
      <c r="E108" s="281">
        <v>27966</v>
      </c>
      <c r="F108" s="281">
        <v>45847</v>
      </c>
      <c r="G108" s="281">
        <v>50674</v>
      </c>
      <c r="H108" s="281">
        <v>46376</v>
      </c>
      <c r="I108" s="281">
        <v>43192</v>
      </c>
      <c r="J108" s="281">
        <v>38417</v>
      </c>
      <c r="K108" s="281">
        <v>42214</v>
      </c>
      <c r="L108" s="281">
        <v>48453</v>
      </c>
      <c r="M108" s="281">
        <v>50573</v>
      </c>
      <c r="N108" s="281">
        <v>54971</v>
      </c>
      <c r="O108" s="281">
        <v>57715</v>
      </c>
      <c r="P108" s="281">
        <v>66186</v>
      </c>
      <c r="Q108" s="281">
        <v>59447</v>
      </c>
      <c r="R108" s="281">
        <v>50724</v>
      </c>
      <c r="S108" s="281">
        <v>48792</v>
      </c>
      <c r="T108" s="281">
        <v>47225</v>
      </c>
      <c r="U108" s="281">
        <v>47352</v>
      </c>
      <c r="V108" s="281">
        <v>47113</v>
      </c>
      <c r="W108" s="281">
        <v>53154</v>
      </c>
      <c r="X108" s="281">
        <f>[9]summary!W101</f>
        <v>59557</v>
      </c>
      <c r="Y108" s="281">
        <f>[10]Summary!X101</f>
        <v>55263</v>
      </c>
      <c r="Z108" s="281">
        <f>[11]Summary!Z108</f>
        <v>57331</v>
      </c>
      <c r="AA108" s="281">
        <f>[11]Summary!AA108</f>
        <v>19669</v>
      </c>
      <c r="AB108" s="281"/>
      <c r="AC108" s="283"/>
    </row>
    <row r="109" spans="2:29" ht="16.5" thickBot="1" x14ac:dyDescent="0.3">
      <c r="B109" s="284" t="s">
        <v>7</v>
      </c>
      <c r="C109" s="285">
        <v>194536</v>
      </c>
      <c r="D109" s="285">
        <v>215823</v>
      </c>
      <c r="E109" s="285">
        <v>195221</v>
      </c>
      <c r="F109" s="285">
        <v>173205</v>
      </c>
      <c r="G109" s="285">
        <v>208864</v>
      </c>
      <c r="H109" s="285">
        <v>215957</v>
      </c>
      <c r="I109" s="285">
        <v>215759</v>
      </c>
      <c r="J109" s="285">
        <v>170347</v>
      </c>
      <c r="K109" s="285">
        <v>211733</v>
      </c>
      <c r="L109" s="285">
        <v>215185</v>
      </c>
      <c r="M109" s="285">
        <v>213736</v>
      </c>
      <c r="N109" s="285">
        <v>235453</v>
      </c>
      <c r="O109" s="285">
        <v>239299</v>
      </c>
      <c r="P109" s="285">
        <v>280149</v>
      </c>
      <c r="Q109" s="285">
        <v>288955</v>
      </c>
      <c r="R109" s="285">
        <v>242878</v>
      </c>
      <c r="S109" s="285">
        <v>210434</v>
      </c>
      <c r="T109" s="285">
        <v>209689</v>
      </c>
      <c r="U109" s="285">
        <v>209480</v>
      </c>
      <c r="V109" s="285">
        <v>215474</v>
      </c>
      <c r="W109" s="285">
        <v>233884</v>
      </c>
      <c r="X109" s="285">
        <f>[9]summary!W102</f>
        <v>258332</v>
      </c>
      <c r="Y109" s="285">
        <f>[10]Summary!X102</f>
        <v>267583</v>
      </c>
      <c r="Z109" s="285">
        <f>[11]Summary!Z109</f>
        <v>258177</v>
      </c>
      <c r="AA109" s="285">
        <f>[11]Summary!AA109</f>
        <v>225214</v>
      </c>
      <c r="AB109" s="285">
        <f>AB108+AB104+AB100+AB96</f>
        <v>16029</v>
      </c>
      <c r="AC109" s="286"/>
    </row>
    <row r="110" spans="2:29" x14ac:dyDescent="0.25"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6"/>
      <c r="AC110" s="279"/>
    </row>
    <row r="111" spans="2:29" ht="20.25" x14ac:dyDescent="0.3">
      <c r="B111" s="287" t="s">
        <v>187</v>
      </c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2:29" s="263" customFormat="1" ht="15" x14ac:dyDescent="0.25">
      <c r="B112" s="264" t="s">
        <v>25</v>
      </c>
      <c r="C112" s="265" t="s">
        <v>2</v>
      </c>
      <c r="D112" s="265" t="s">
        <v>4</v>
      </c>
      <c r="E112" s="265" t="s">
        <v>26</v>
      </c>
      <c r="F112" s="265" t="s">
        <v>5</v>
      </c>
      <c r="G112" s="265" t="s">
        <v>6</v>
      </c>
      <c r="H112" s="265" t="s">
        <v>27</v>
      </c>
      <c r="I112" s="265" t="s">
        <v>28</v>
      </c>
      <c r="J112" s="266" t="s">
        <v>29</v>
      </c>
      <c r="K112" s="266" t="s">
        <v>30</v>
      </c>
      <c r="L112" s="265" t="s">
        <v>3</v>
      </c>
      <c r="M112" s="265" t="s">
        <v>31</v>
      </c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2:29" x14ac:dyDescent="0.25">
      <c r="B113" s="268" t="s">
        <v>9</v>
      </c>
      <c r="C113" s="269">
        <f>[11]Summary!C173</f>
        <v>9395</v>
      </c>
      <c r="D113" s="269">
        <f>[11]Summary!D173</f>
        <v>1531</v>
      </c>
      <c r="E113" s="269">
        <f>[11]Summary!E173</f>
        <v>541</v>
      </c>
      <c r="F113" s="269">
        <f>[11]Summary!F173</f>
        <v>679</v>
      </c>
      <c r="G113" s="270">
        <f>[11]Summary!G173</f>
        <v>259</v>
      </c>
      <c r="H113" s="271">
        <f>[11]Summary!H173</f>
        <v>2489</v>
      </c>
      <c r="I113" s="271">
        <f>[11]Summary!I173</f>
        <v>743</v>
      </c>
      <c r="J113" s="270">
        <f>[11]Summary!J173</f>
        <v>641</v>
      </c>
      <c r="K113" s="270">
        <f>[11]Summary!K173</f>
        <v>729</v>
      </c>
      <c r="L113" s="272">
        <f>[11]Summary!L173</f>
        <v>1107</v>
      </c>
      <c r="M113" s="272">
        <f>[11]Summary!M173</f>
        <v>18114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2:29" x14ac:dyDescent="0.25">
      <c r="B114" s="268" t="s">
        <v>10</v>
      </c>
      <c r="C114" s="274">
        <f>[11]Summary!C174</f>
        <v>10493</v>
      </c>
      <c r="D114" s="274">
        <f>[11]Summary!D174</f>
        <v>1332</v>
      </c>
      <c r="E114" s="274">
        <f>[11]Summary!E174</f>
        <v>641</v>
      </c>
      <c r="F114" s="274">
        <f>[11]Summary!F174</f>
        <v>284</v>
      </c>
      <c r="G114" s="275">
        <f>[11]Summary!G174</f>
        <v>170</v>
      </c>
      <c r="H114" s="276">
        <f>[11]Summary!H174</f>
        <v>2319</v>
      </c>
      <c r="I114" s="276">
        <f>[11]Summary!I174</f>
        <v>725</v>
      </c>
      <c r="J114" s="275">
        <f>[11]Summary!J174</f>
        <v>560</v>
      </c>
      <c r="K114" s="275">
        <f>[11]Summary!K174</f>
        <v>625</v>
      </c>
      <c r="L114" s="277">
        <f>[11]Summary!L174</f>
        <v>951</v>
      </c>
      <c r="M114" s="277">
        <f>[11]Summary!M174</f>
        <v>18100</v>
      </c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2:29" x14ac:dyDescent="0.25">
      <c r="B115" s="268" t="s">
        <v>47</v>
      </c>
      <c r="C115" s="274">
        <f>[11]Summary!C175</f>
        <v>11807</v>
      </c>
      <c r="D115" s="274">
        <f>[11]Summary!D175</f>
        <v>1602</v>
      </c>
      <c r="E115" s="274">
        <f>[11]Summary!E175</f>
        <v>860</v>
      </c>
      <c r="F115" s="274">
        <f>[11]Summary!F175</f>
        <v>284</v>
      </c>
      <c r="G115" s="275">
        <f>[11]Summary!G175</f>
        <v>416</v>
      </c>
      <c r="H115" s="276">
        <f>[11]Summary!H175</f>
        <v>2367</v>
      </c>
      <c r="I115" s="276">
        <f>[11]Summary!I175</f>
        <v>559</v>
      </c>
      <c r="J115" s="275">
        <f>[11]Summary!J175</f>
        <v>620</v>
      </c>
      <c r="K115" s="275">
        <f>[11]Summary!K175</f>
        <v>622</v>
      </c>
      <c r="L115" s="277">
        <f>[11]Summary!L175</f>
        <v>775</v>
      </c>
      <c r="M115" s="277">
        <f>[11]Summary!M175</f>
        <v>19912</v>
      </c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2:29" x14ac:dyDescent="0.25">
      <c r="B116" s="280" t="s">
        <v>12</v>
      </c>
      <c r="C116" s="281">
        <f>[11]Summary!C176</f>
        <v>31695</v>
      </c>
      <c r="D116" s="281">
        <f>[11]Summary!D176</f>
        <v>4465</v>
      </c>
      <c r="E116" s="281">
        <f>[11]Summary!E176</f>
        <v>2042</v>
      </c>
      <c r="F116" s="281">
        <f>[11]Summary!F176</f>
        <v>1247</v>
      </c>
      <c r="G116" s="281">
        <f>[11]Summary!G176</f>
        <v>845</v>
      </c>
      <c r="H116" s="281">
        <f>[11]Summary!H176</f>
        <v>7175</v>
      </c>
      <c r="I116" s="281">
        <f>[11]Summary!I176</f>
        <v>2027</v>
      </c>
      <c r="J116" s="281">
        <f>[11]Summary!J176</f>
        <v>1821</v>
      </c>
      <c r="K116" s="281">
        <f>[11]Summary!K176</f>
        <v>1976</v>
      </c>
      <c r="L116" s="281">
        <f>[11]Summary!L176</f>
        <v>2833</v>
      </c>
      <c r="M116" s="281">
        <f>[11]Summary!M176</f>
        <v>56126</v>
      </c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2:29" x14ac:dyDescent="0.25">
      <c r="B117" s="268" t="s">
        <v>48</v>
      </c>
      <c r="C117" s="274">
        <f>[11]Summary!C177</f>
        <v>11921</v>
      </c>
      <c r="D117" s="274">
        <f>[11]Summary!D177</f>
        <v>1019</v>
      </c>
      <c r="E117" s="274">
        <f>[11]Summary!E177</f>
        <v>742</v>
      </c>
      <c r="F117" s="274">
        <f>[11]Summary!F177</f>
        <v>188</v>
      </c>
      <c r="G117" s="275">
        <f>[11]Summary!G177</f>
        <v>159</v>
      </c>
      <c r="H117" s="276">
        <f>[11]Summary!H177</f>
        <v>2100</v>
      </c>
      <c r="I117" s="276">
        <f>[11]Summary!I177</f>
        <v>816</v>
      </c>
      <c r="J117" s="275">
        <f>[11]Summary!J177</f>
        <v>881</v>
      </c>
      <c r="K117" s="275">
        <f>[11]Summary!K177</f>
        <v>939</v>
      </c>
      <c r="L117" s="277">
        <f>[11]Summary!L177</f>
        <v>853</v>
      </c>
      <c r="M117" s="277">
        <f>[11]Summary!M177</f>
        <v>19618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2:29" x14ac:dyDescent="0.25">
      <c r="B118" s="268" t="s">
        <v>14</v>
      </c>
      <c r="C118" s="274">
        <f>[11]Summary!C178</f>
        <v>9004</v>
      </c>
      <c r="D118" s="274">
        <f>[11]Summary!D178</f>
        <v>620</v>
      </c>
      <c r="E118" s="274">
        <f>[11]Summary!E178</f>
        <v>440</v>
      </c>
      <c r="F118" s="274">
        <f>[11]Summary!F178</f>
        <v>71</v>
      </c>
      <c r="G118" s="275">
        <f>[11]Summary!G178</f>
        <v>63</v>
      </c>
      <c r="H118" s="276">
        <f>[11]Summary!H178</f>
        <v>1211</v>
      </c>
      <c r="I118" s="276">
        <f>[11]Summary!I178</f>
        <v>623</v>
      </c>
      <c r="J118" s="275">
        <f>[11]Summary!J178</f>
        <v>851</v>
      </c>
      <c r="K118" s="275">
        <f>[11]Summary!K178</f>
        <v>795</v>
      </c>
      <c r="L118" s="277">
        <f>[11]Summary!L178</f>
        <v>661</v>
      </c>
      <c r="M118" s="277">
        <f>[11]Summary!M178</f>
        <v>14339</v>
      </c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2:29" x14ac:dyDescent="0.25">
      <c r="B119" s="268" t="s">
        <v>49</v>
      </c>
      <c r="C119" s="274">
        <f>[11]Summary!C179</f>
        <v>11320</v>
      </c>
      <c r="D119" s="274">
        <f>[11]Summary!D179</f>
        <v>509</v>
      </c>
      <c r="E119" s="274">
        <f>[11]Summary!E179</f>
        <v>377</v>
      </c>
      <c r="F119" s="274">
        <f>[11]Summary!F179</f>
        <v>74</v>
      </c>
      <c r="G119" s="275">
        <f>[11]Summary!G179</f>
        <v>60</v>
      </c>
      <c r="H119" s="276">
        <f>[11]Summary!H179</f>
        <v>1005</v>
      </c>
      <c r="I119" s="276">
        <f>[11]Summary!I179</f>
        <v>626</v>
      </c>
      <c r="J119" s="275">
        <f>[11]Summary!J179</f>
        <v>626</v>
      </c>
      <c r="K119" s="275">
        <f>[11]Summary!K179</f>
        <v>647</v>
      </c>
      <c r="L119" s="277">
        <f>[11]Summary!L179</f>
        <v>601</v>
      </c>
      <c r="M119" s="277">
        <f>[11]Summary!M179</f>
        <v>15845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2:29" x14ac:dyDescent="0.25">
      <c r="B120" s="280" t="s">
        <v>16</v>
      </c>
      <c r="C120" s="281">
        <f>[11]Summary!C180</f>
        <v>32245</v>
      </c>
      <c r="D120" s="281">
        <f>[11]Summary!D180</f>
        <v>2148</v>
      </c>
      <c r="E120" s="281">
        <f>[11]Summary!E180</f>
        <v>1559</v>
      </c>
      <c r="F120" s="281">
        <f>[11]Summary!F180</f>
        <v>333</v>
      </c>
      <c r="G120" s="281">
        <f>[11]Summary!G180</f>
        <v>282</v>
      </c>
      <c r="H120" s="281">
        <f>[11]Summary!H180</f>
        <v>4316</v>
      </c>
      <c r="I120" s="281">
        <f>[11]Summary!I180</f>
        <v>2065</v>
      </c>
      <c r="J120" s="281">
        <f>[11]Summary!J180</f>
        <v>2358</v>
      </c>
      <c r="K120" s="281">
        <f>[11]Summary!K180</f>
        <v>2381</v>
      </c>
      <c r="L120" s="281">
        <f>[11]Summary!L180</f>
        <v>2115</v>
      </c>
      <c r="M120" s="281">
        <f>[11]Summary!M180</f>
        <v>49802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2:29" x14ac:dyDescent="0.25">
      <c r="B121" s="268" t="s">
        <v>50</v>
      </c>
      <c r="C121" s="274">
        <f>[11]Summary!C181</f>
        <v>12241</v>
      </c>
      <c r="D121" s="274">
        <f>[11]Summary!D181</f>
        <v>653</v>
      </c>
      <c r="E121" s="274">
        <f>[11]Summary!E181</f>
        <v>564</v>
      </c>
      <c r="F121" s="274">
        <f>[11]Summary!F181</f>
        <v>133</v>
      </c>
      <c r="G121" s="275">
        <f>[11]Summary!G181</f>
        <v>47</v>
      </c>
      <c r="H121" s="276">
        <f>[11]Summary!H181</f>
        <v>1523</v>
      </c>
      <c r="I121" s="276">
        <f>[11]Summary!I181</f>
        <v>873</v>
      </c>
      <c r="J121" s="275">
        <f>[11]Summary!J181</f>
        <v>883</v>
      </c>
      <c r="K121" s="275">
        <f>[11]Summary!K181</f>
        <v>1339</v>
      </c>
      <c r="L121" s="277">
        <f>[11]Summary!L181</f>
        <v>836</v>
      </c>
      <c r="M121" s="277">
        <f>[11]Summary!M181</f>
        <v>19092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2:29" x14ac:dyDescent="0.25">
      <c r="B122" s="268" t="s">
        <v>51</v>
      </c>
      <c r="C122" s="274">
        <f>[11]Summary!C182</f>
        <v>9267</v>
      </c>
      <c r="D122" s="274">
        <f>[11]Summary!D182</f>
        <v>535</v>
      </c>
      <c r="E122" s="274">
        <f>[11]Summary!E182</f>
        <v>447</v>
      </c>
      <c r="F122" s="274">
        <f>[11]Summary!F182</f>
        <v>496</v>
      </c>
      <c r="G122" s="275">
        <f>[11]Summary!G182</f>
        <v>86</v>
      </c>
      <c r="H122" s="276">
        <f>[11]Summary!H182</f>
        <v>2087</v>
      </c>
      <c r="I122" s="276">
        <f>[11]Summary!I182</f>
        <v>1470</v>
      </c>
      <c r="J122" s="275">
        <f>[11]Summary!J182</f>
        <v>1246</v>
      </c>
      <c r="K122" s="275">
        <f>[11]Summary!K182</f>
        <v>1283</v>
      </c>
      <c r="L122" s="277">
        <f>[11]Summary!L182</f>
        <v>671</v>
      </c>
      <c r="M122" s="277">
        <f>[11]Summary!M182</f>
        <v>17588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2:29" x14ac:dyDescent="0.25">
      <c r="B123" s="268" t="s">
        <v>19</v>
      </c>
      <c r="C123" s="274">
        <f>[11]Summary!C183</f>
        <v>229</v>
      </c>
      <c r="D123" s="274">
        <f>[11]Summary!D183</f>
        <v>32</v>
      </c>
      <c r="E123" s="274">
        <f>[11]Summary!E183</f>
        <v>52</v>
      </c>
      <c r="F123" s="274">
        <f>[11]Summary!F183</f>
        <v>6</v>
      </c>
      <c r="G123" s="275">
        <f>[11]Summary!G183</f>
        <v>3</v>
      </c>
      <c r="H123" s="276">
        <f>[11]Summary!H183</f>
        <v>52</v>
      </c>
      <c r="I123" s="276">
        <f>[11]Summary!I183</f>
        <v>29</v>
      </c>
      <c r="J123" s="275">
        <f>[11]Summary!J183</f>
        <v>56</v>
      </c>
      <c r="K123" s="275">
        <f>[11]Summary!K183</f>
        <v>146</v>
      </c>
      <c r="L123" s="277">
        <f>[11]Summary!L183</f>
        <v>48</v>
      </c>
      <c r="M123" s="277">
        <f>[11]Summary!M183</f>
        <v>653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2:29" x14ac:dyDescent="0.25">
      <c r="B124" s="280" t="s">
        <v>20</v>
      </c>
      <c r="C124" s="281">
        <f>[11]Summary!C184</f>
        <v>21737</v>
      </c>
      <c r="D124" s="281">
        <f>[11]Summary!D184</f>
        <v>1220</v>
      </c>
      <c r="E124" s="281">
        <f>[11]Summary!E184</f>
        <v>1063</v>
      </c>
      <c r="F124" s="281">
        <f>[11]Summary!F184</f>
        <v>635</v>
      </c>
      <c r="G124" s="281">
        <f>[11]Summary!G184</f>
        <v>136</v>
      </c>
      <c r="H124" s="281">
        <f>[11]Summary!H184</f>
        <v>3662</v>
      </c>
      <c r="I124" s="281">
        <f>[11]Summary!I184</f>
        <v>2372</v>
      </c>
      <c r="J124" s="281">
        <f>[11]Summary!J184</f>
        <v>2185</v>
      </c>
      <c r="K124" s="281">
        <f>[11]Summary!K184</f>
        <v>2768</v>
      </c>
      <c r="L124" s="281">
        <f>[11]Summary!L184</f>
        <v>1555</v>
      </c>
      <c r="M124" s="281">
        <f>[11]Summary!M184</f>
        <v>37333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2:29" x14ac:dyDescent="0.25">
      <c r="B125" s="268" t="s">
        <v>21</v>
      </c>
      <c r="C125" s="274">
        <f>[11]Summary!C185</f>
        <v>242</v>
      </c>
      <c r="D125" s="274">
        <f>[11]Summary!D185</f>
        <v>18</v>
      </c>
      <c r="E125" s="274">
        <f>[11]Summary!E185</f>
        <v>81</v>
      </c>
      <c r="F125" s="274">
        <f>[11]Summary!F185</f>
        <v>1</v>
      </c>
      <c r="G125" s="275">
        <f>[11]Summary!G185</f>
        <v>1</v>
      </c>
      <c r="H125" s="276">
        <f>[11]Summary!H185</f>
        <v>75</v>
      </c>
      <c r="I125" s="276">
        <f>[11]Summary!I185</f>
        <v>36</v>
      </c>
      <c r="J125" s="275">
        <f>[11]Summary!J185</f>
        <v>120</v>
      </c>
      <c r="K125" s="275">
        <f>[11]Summary!K185</f>
        <v>209</v>
      </c>
      <c r="L125" s="277">
        <f>[11]Summary!L185</f>
        <v>50</v>
      </c>
      <c r="M125" s="277">
        <f>[11]Summary!M185</f>
        <v>833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2:29" x14ac:dyDescent="0.25">
      <c r="B126" s="268" t="s">
        <v>22</v>
      </c>
      <c r="C126" s="274">
        <f>[11]Summary!C186</f>
        <v>724</v>
      </c>
      <c r="D126" s="274">
        <f>[11]Summary!D186</f>
        <v>104</v>
      </c>
      <c r="E126" s="274">
        <f>[11]Summary!E186</f>
        <v>183</v>
      </c>
      <c r="F126" s="274">
        <f>[11]Summary!F186</f>
        <v>11</v>
      </c>
      <c r="G126" s="275">
        <f>[11]Summary!G186</f>
        <v>12</v>
      </c>
      <c r="H126" s="276">
        <f>[11]Summary!H186</f>
        <v>160</v>
      </c>
      <c r="I126" s="276">
        <f>[11]Summary!I186</f>
        <v>274</v>
      </c>
      <c r="J126" s="275">
        <f>[11]Summary!J186</f>
        <v>350</v>
      </c>
      <c r="K126" s="275">
        <f>[11]Summary!K186</f>
        <v>410</v>
      </c>
      <c r="L126" s="277">
        <f>[11]Summary!L186</f>
        <v>124</v>
      </c>
      <c r="M126" s="277">
        <f>[11]Summary!M186</f>
        <v>2352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2:29" x14ac:dyDescent="0.25">
      <c r="B127" s="268" t="s">
        <v>23</v>
      </c>
      <c r="C127" s="274">
        <f>[11]Summary!C187</f>
        <v>1667</v>
      </c>
      <c r="D127" s="274">
        <f>[11]Summary!D187</f>
        <v>119</v>
      </c>
      <c r="E127" s="274">
        <f>[11]Summary!E187</f>
        <v>243</v>
      </c>
      <c r="F127" s="274">
        <f>[11]Summary!F187</f>
        <v>54</v>
      </c>
      <c r="G127" s="275">
        <f>[11]Summary!G187</f>
        <v>33</v>
      </c>
      <c r="H127" s="276">
        <f>[11]Summary!H187</f>
        <v>457</v>
      </c>
      <c r="I127" s="276">
        <f>[11]Summary!I187</f>
        <v>427</v>
      </c>
      <c r="J127" s="275">
        <f>[11]Summary!J187</f>
        <v>529</v>
      </c>
      <c r="K127" s="275">
        <f>[11]Summary!K187</f>
        <v>483</v>
      </c>
      <c r="L127" s="277">
        <f>[11]Summary!L187</f>
        <v>220</v>
      </c>
      <c r="M127" s="277">
        <f>[11]Summary!M187</f>
        <v>4232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2:29" x14ac:dyDescent="0.25">
      <c r="B128" s="280" t="s">
        <v>24</v>
      </c>
      <c r="C128" s="281">
        <f>[11]Summary!C188</f>
        <v>2633</v>
      </c>
      <c r="D128" s="281">
        <f>[11]Summary!D188</f>
        <v>241</v>
      </c>
      <c r="E128" s="281">
        <f>[11]Summary!E188</f>
        <v>507</v>
      </c>
      <c r="F128" s="281">
        <f>[11]Summary!F188</f>
        <v>66</v>
      </c>
      <c r="G128" s="281">
        <f>[11]Summary!G188</f>
        <v>46</v>
      </c>
      <c r="H128" s="281">
        <f>[11]Summary!H188</f>
        <v>692</v>
      </c>
      <c r="I128" s="281">
        <f>[11]Summary!I188</f>
        <v>737</v>
      </c>
      <c r="J128" s="281">
        <f>[11]Summary!J188</f>
        <v>999</v>
      </c>
      <c r="K128" s="281">
        <f>[11]Summary!K188</f>
        <v>1102</v>
      </c>
      <c r="L128" s="281">
        <f>[11]Summary!L188</f>
        <v>394</v>
      </c>
      <c r="M128" s="281">
        <f>[11]Summary!M188</f>
        <v>7417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2:29" ht="16.5" thickBot="1" x14ac:dyDescent="0.3">
      <c r="B129" s="284" t="s">
        <v>7</v>
      </c>
      <c r="C129" s="285">
        <f>[11]Summary!C189</f>
        <v>88310</v>
      </c>
      <c r="D129" s="285">
        <f>[11]Summary!D189</f>
        <v>8074</v>
      </c>
      <c r="E129" s="285">
        <f>[11]Summary!E189</f>
        <v>5171</v>
      </c>
      <c r="F129" s="285">
        <f>[11]Summary!F189</f>
        <v>2281</v>
      </c>
      <c r="G129" s="285">
        <f>[11]Summary!G189</f>
        <v>1309</v>
      </c>
      <c r="H129" s="285">
        <f>[11]Summary!H189</f>
        <v>15845</v>
      </c>
      <c r="I129" s="285">
        <f>[11]Summary!I189</f>
        <v>7201</v>
      </c>
      <c r="J129" s="285">
        <f>[11]Summary!J189</f>
        <v>7363</v>
      </c>
      <c r="K129" s="285">
        <f>[11]Summary!K189</f>
        <v>8227</v>
      </c>
      <c r="L129" s="285">
        <f>[11]Summary!L189</f>
        <v>6897</v>
      </c>
      <c r="M129" s="285">
        <f>[11]Summary!M189</f>
        <v>150678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2:29" x14ac:dyDescent="0.25">
      <c r="B130" s="10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2:29" ht="20.25" x14ac:dyDescent="0.3">
      <c r="B131" s="287" t="s">
        <v>189</v>
      </c>
      <c r="C131" s="259"/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2:29" s="263" customFormat="1" ht="15" x14ac:dyDescent="0.25">
      <c r="B132" s="264" t="s">
        <v>25</v>
      </c>
      <c r="C132" s="265" t="s">
        <v>2</v>
      </c>
      <c r="D132" s="265" t="s">
        <v>4</v>
      </c>
      <c r="E132" s="265" t="s">
        <v>26</v>
      </c>
      <c r="F132" s="265" t="s">
        <v>5</v>
      </c>
      <c r="G132" s="265" t="s">
        <v>6</v>
      </c>
      <c r="H132" s="265" t="s">
        <v>27</v>
      </c>
      <c r="I132" s="265" t="s">
        <v>28</v>
      </c>
      <c r="J132" s="266" t="s">
        <v>29</v>
      </c>
      <c r="K132" s="266" t="s">
        <v>30</v>
      </c>
      <c r="L132" s="265" t="s">
        <v>3</v>
      </c>
      <c r="M132" s="265" t="s">
        <v>7</v>
      </c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2:29" x14ac:dyDescent="0.25">
      <c r="B133" s="268" t="s">
        <v>9</v>
      </c>
      <c r="C133" s="269">
        <f>[11]Summary!C193</f>
        <v>4804</v>
      </c>
      <c r="D133" s="269">
        <f>[11]Summary!D193</f>
        <v>465</v>
      </c>
      <c r="E133" s="269">
        <f>[11]Summary!E193</f>
        <v>303</v>
      </c>
      <c r="F133" s="269">
        <f>[11]Summary!F193</f>
        <v>182</v>
      </c>
      <c r="G133" s="270">
        <f>[11]Summary!G193</f>
        <v>52</v>
      </c>
      <c r="H133" s="271">
        <f>[11]Summary!H193</f>
        <v>423</v>
      </c>
      <c r="I133" s="271">
        <f>[11]Summary!I193</f>
        <v>139</v>
      </c>
      <c r="J133" s="270">
        <f>[11]Summary!J193</f>
        <v>227</v>
      </c>
      <c r="K133" s="270">
        <f>[11]Summary!K193</f>
        <v>358</v>
      </c>
      <c r="L133" s="272">
        <f>[11]Summary!L193</f>
        <v>314</v>
      </c>
      <c r="M133" s="272">
        <f>[11]Summary!M193</f>
        <v>7267</v>
      </c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2:29" x14ac:dyDescent="0.25">
      <c r="B134" s="268" t="s">
        <v>10</v>
      </c>
      <c r="C134" s="274">
        <f>[11]Summary!C194</f>
        <v>5707</v>
      </c>
      <c r="D134" s="274">
        <f>[11]Summary!D194</f>
        <v>472</v>
      </c>
      <c r="E134" s="274">
        <f>[11]Summary!E194</f>
        <v>314</v>
      </c>
      <c r="F134" s="274">
        <f>[11]Summary!F194</f>
        <v>119</v>
      </c>
      <c r="G134" s="275">
        <f>[11]Summary!G194</f>
        <v>33</v>
      </c>
      <c r="H134" s="276">
        <f>[11]Summary!H194</f>
        <v>365</v>
      </c>
      <c r="I134" s="276">
        <f>[11]Summary!I194</f>
        <v>135</v>
      </c>
      <c r="J134" s="275">
        <f>[11]Summary!J194</f>
        <v>203</v>
      </c>
      <c r="K134" s="275">
        <f>[11]Summary!K194</f>
        <v>340</v>
      </c>
      <c r="L134" s="277">
        <f>[11]Summary!L194</f>
        <v>246</v>
      </c>
      <c r="M134" s="277">
        <f>[11]Summary!M194</f>
        <v>7934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2:29" x14ac:dyDescent="0.25">
      <c r="B135" s="268" t="s">
        <v>47</v>
      </c>
      <c r="C135" s="274">
        <f>[11]Summary!C195</f>
        <v>6706</v>
      </c>
      <c r="D135" s="274">
        <f>[11]Summary!D195</f>
        <v>581</v>
      </c>
      <c r="E135" s="274">
        <f>[11]Summary!E195</f>
        <v>388</v>
      </c>
      <c r="F135" s="274">
        <f>[11]Summary!F195</f>
        <v>81</v>
      </c>
      <c r="G135" s="275">
        <f>[11]Summary!G195</f>
        <v>109</v>
      </c>
      <c r="H135" s="276">
        <f>[11]Summary!H195</f>
        <v>420</v>
      </c>
      <c r="I135" s="276">
        <f>[11]Summary!I195</f>
        <v>126</v>
      </c>
      <c r="J135" s="275">
        <f>[11]Summary!J195</f>
        <v>214</v>
      </c>
      <c r="K135" s="275">
        <f>[11]Summary!K195</f>
        <v>393</v>
      </c>
      <c r="L135" s="277">
        <f>[11]Summary!L195</f>
        <v>226</v>
      </c>
      <c r="M135" s="277">
        <f>[11]Summary!M195</f>
        <v>9244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2:29" x14ac:dyDescent="0.25">
      <c r="B136" s="280" t="s">
        <v>12</v>
      </c>
      <c r="C136" s="281">
        <f>[11]Summary!C196</f>
        <v>17217</v>
      </c>
      <c r="D136" s="281">
        <f>[11]Summary!D196</f>
        <v>1518</v>
      </c>
      <c r="E136" s="281">
        <f>[11]Summary!E196</f>
        <v>1005</v>
      </c>
      <c r="F136" s="281">
        <f>[11]Summary!F196</f>
        <v>382</v>
      </c>
      <c r="G136" s="281">
        <f>[11]Summary!G196</f>
        <v>194</v>
      </c>
      <c r="H136" s="281">
        <f>[11]Summary!H196</f>
        <v>1208</v>
      </c>
      <c r="I136" s="281">
        <f>[11]Summary!I196</f>
        <v>400</v>
      </c>
      <c r="J136" s="281">
        <f>[11]Summary!J196</f>
        <v>644</v>
      </c>
      <c r="K136" s="281">
        <f>[11]Summary!K196</f>
        <v>1091</v>
      </c>
      <c r="L136" s="281">
        <f>[11]Summary!L196</f>
        <v>786</v>
      </c>
      <c r="M136" s="281">
        <f>[11]Summary!M196</f>
        <v>24445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2:29" x14ac:dyDescent="0.25">
      <c r="B137" s="268" t="s">
        <v>48</v>
      </c>
      <c r="C137" s="274">
        <f>[11]Summary!C197</f>
        <v>6299</v>
      </c>
      <c r="D137" s="274">
        <f>[11]Summary!D197</f>
        <v>346</v>
      </c>
      <c r="E137" s="274">
        <f>[11]Summary!E197</f>
        <v>485</v>
      </c>
      <c r="F137" s="274">
        <f>[11]Summary!F197</f>
        <v>115</v>
      </c>
      <c r="G137" s="275">
        <f>[11]Summary!G197</f>
        <v>70</v>
      </c>
      <c r="H137" s="276">
        <f>[11]Summary!H197</f>
        <v>613</v>
      </c>
      <c r="I137" s="276">
        <f>[11]Summary!I197</f>
        <v>265</v>
      </c>
      <c r="J137" s="275">
        <f>[11]Summary!J197</f>
        <v>447</v>
      </c>
      <c r="K137" s="275">
        <f>[11]Summary!K197</f>
        <v>628</v>
      </c>
      <c r="L137" s="277">
        <f>[11]Summary!L197</f>
        <v>396</v>
      </c>
      <c r="M137" s="277">
        <f>[11]Summary!M197</f>
        <v>9664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2:29" x14ac:dyDescent="0.25">
      <c r="B138" s="268" t="s">
        <v>14</v>
      </c>
      <c r="C138" s="274">
        <f>[11]Summary!C198</f>
        <v>4664</v>
      </c>
      <c r="D138" s="274">
        <f>[11]Summary!D198</f>
        <v>243</v>
      </c>
      <c r="E138" s="274">
        <f>[11]Summary!E198</f>
        <v>324</v>
      </c>
      <c r="F138" s="274">
        <f>[11]Summary!F198</f>
        <v>45</v>
      </c>
      <c r="G138" s="275">
        <f>[11]Summary!G198</f>
        <v>28</v>
      </c>
      <c r="H138" s="276">
        <f>[11]Summary!H198</f>
        <v>388</v>
      </c>
      <c r="I138" s="276">
        <f>[11]Summary!I198</f>
        <v>210</v>
      </c>
      <c r="J138" s="275">
        <f>[11]Summary!J198</f>
        <v>398</v>
      </c>
      <c r="K138" s="275">
        <f>[11]Summary!K198</f>
        <v>485</v>
      </c>
      <c r="L138" s="277">
        <f>[11]Summary!L198</f>
        <v>315</v>
      </c>
      <c r="M138" s="277">
        <f>[11]Summary!M198</f>
        <v>7100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2:29" x14ac:dyDescent="0.25">
      <c r="B139" s="268" t="s">
        <v>49</v>
      </c>
      <c r="C139" s="274">
        <f>[11]Summary!C199</f>
        <v>4710</v>
      </c>
      <c r="D139" s="274">
        <f>[11]Summary!D199</f>
        <v>206</v>
      </c>
      <c r="E139" s="274">
        <f>[11]Summary!E199</f>
        <v>283</v>
      </c>
      <c r="F139" s="274">
        <f>[11]Summary!F199</f>
        <v>52</v>
      </c>
      <c r="G139" s="275">
        <f>[11]Summary!G199</f>
        <v>37</v>
      </c>
      <c r="H139" s="276">
        <f>[11]Summary!H199</f>
        <v>289</v>
      </c>
      <c r="I139" s="276">
        <f>[11]Summary!I199</f>
        <v>194</v>
      </c>
      <c r="J139" s="275">
        <f>[11]Summary!J199</f>
        <v>236</v>
      </c>
      <c r="K139" s="275">
        <f>[11]Summary!K199</f>
        <v>420</v>
      </c>
      <c r="L139" s="277">
        <f>[11]Summary!L199</f>
        <v>258</v>
      </c>
      <c r="M139" s="277">
        <f>[11]Summary!M199</f>
        <v>6685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2:29" x14ac:dyDescent="0.25">
      <c r="B140" s="280" t="s">
        <v>16</v>
      </c>
      <c r="C140" s="281">
        <f>[11]Summary!C200</f>
        <v>15673</v>
      </c>
      <c r="D140" s="281">
        <f>[11]Summary!D200</f>
        <v>795</v>
      </c>
      <c r="E140" s="281">
        <f>[11]Summary!E200</f>
        <v>1092</v>
      </c>
      <c r="F140" s="281">
        <f>[11]Summary!F200</f>
        <v>212</v>
      </c>
      <c r="G140" s="281">
        <f>[11]Summary!G200</f>
        <v>135</v>
      </c>
      <c r="H140" s="281">
        <f>[11]Summary!H200</f>
        <v>1290</v>
      </c>
      <c r="I140" s="281">
        <f>[11]Summary!I200</f>
        <v>669</v>
      </c>
      <c r="J140" s="281">
        <f>[11]Summary!J200</f>
        <v>1081</v>
      </c>
      <c r="K140" s="281">
        <f>[11]Summary!K200</f>
        <v>1533</v>
      </c>
      <c r="L140" s="281">
        <f>[11]Summary!L200</f>
        <v>969</v>
      </c>
      <c r="M140" s="281">
        <f>[11]Summary!M200</f>
        <v>23449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2:29" x14ac:dyDescent="0.25">
      <c r="B141" s="268" t="s">
        <v>50</v>
      </c>
      <c r="C141" s="274">
        <f>[11]Summary!C201</f>
        <v>4877</v>
      </c>
      <c r="D141" s="274">
        <f>[11]Summary!D201</f>
        <v>185</v>
      </c>
      <c r="E141" s="274">
        <f>[11]Summary!E201</f>
        <v>454</v>
      </c>
      <c r="F141" s="274">
        <f>[11]Summary!F201</f>
        <v>104</v>
      </c>
      <c r="G141" s="275">
        <f>[11]Summary!G201</f>
        <v>21</v>
      </c>
      <c r="H141" s="276">
        <f>[11]Summary!H201</f>
        <v>457</v>
      </c>
      <c r="I141" s="276">
        <f>[11]Summary!I201</f>
        <v>250</v>
      </c>
      <c r="J141" s="275">
        <f>[11]Summary!J201</f>
        <v>393</v>
      </c>
      <c r="K141" s="275">
        <f>[11]Summary!K201</f>
        <v>929</v>
      </c>
      <c r="L141" s="277">
        <f>[11]Summary!L201</f>
        <v>414</v>
      </c>
      <c r="M141" s="277">
        <f>[11]Summary!M201</f>
        <v>8084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2:29" x14ac:dyDescent="0.25">
      <c r="B142" s="268" t="s">
        <v>51</v>
      </c>
      <c r="C142" s="274">
        <f>[11]Summary!C202</f>
        <v>3409</v>
      </c>
      <c r="D142" s="274">
        <f>[11]Summary!D202</f>
        <v>119</v>
      </c>
      <c r="E142" s="274">
        <f>[11]Summary!E202</f>
        <v>343</v>
      </c>
      <c r="F142" s="274">
        <f>[11]Summary!F202</f>
        <v>290</v>
      </c>
      <c r="G142" s="275">
        <f>[11]Summary!G202</f>
        <v>35</v>
      </c>
      <c r="H142" s="276">
        <f>[11]Summary!H202</f>
        <v>526</v>
      </c>
      <c r="I142" s="276">
        <f>[11]Summary!I202</f>
        <v>780</v>
      </c>
      <c r="J142" s="275">
        <f>[11]Summary!J202</f>
        <v>770</v>
      </c>
      <c r="K142" s="275">
        <f>[11]Summary!K202</f>
        <v>864</v>
      </c>
      <c r="L142" s="277">
        <f>[11]Summary!L202</f>
        <v>292</v>
      </c>
      <c r="M142" s="277">
        <f>[11]Summary!M202</f>
        <v>7428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2:29" x14ac:dyDescent="0.25">
      <c r="B143" s="268" t="s">
        <v>19</v>
      </c>
      <c r="C143" s="274">
        <f>[11]Summary!C203</f>
        <v>99</v>
      </c>
      <c r="D143" s="274">
        <f>[11]Summary!D203</f>
        <v>8</v>
      </c>
      <c r="E143" s="274">
        <f>[11]Summary!E203</f>
        <v>46</v>
      </c>
      <c r="F143" s="274">
        <f>[11]Summary!F203</f>
        <v>2</v>
      </c>
      <c r="G143" s="275">
        <f>[11]Summary!G203</f>
        <v>0</v>
      </c>
      <c r="H143" s="276">
        <f>[11]Summary!H203</f>
        <v>18</v>
      </c>
      <c r="I143" s="276">
        <f>[11]Summary!I203</f>
        <v>15</v>
      </c>
      <c r="J143" s="275">
        <f>[11]Summary!J203</f>
        <v>29</v>
      </c>
      <c r="K143" s="275">
        <f>[11]Summary!K203</f>
        <v>99</v>
      </c>
      <c r="L143" s="277">
        <f>[11]Summary!L203</f>
        <v>35</v>
      </c>
      <c r="M143" s="277">
        <f>[11]Summary!M203</f>
        <v>351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2:29" x14ac:dyDescent="0.25">
      <c r="B144" s="280" t="s">
        <v>20</v>
      </c>
      <c r="C144" s="281">
        <f>[11]Summary!C204</f>
        <v>8385</v>
      </c>
      <c r="D144" s="281">
        <f>[11]Summary!D204</f>
        <v>312</v>
      </c>
      <c r="E144" s="281">
        <f>[11]Summary!E204</f>
        <v>843</v>
      </c>
      <c r="F144" s="281">
        <f>[11]Summary!F204</f>
        <v>396</v>
      </c>
      <c r="G144" s="281">
        <f>[11]Summary!G204</f>
        <v>56</v>
      </c>
      <c r="H144" s="281">
        <f>[11]Summary!H204</f>
        <v>1001</v>
      </c>
      <c r="I144" s="281">
        <f>[11]Summary!I204</f>
        <v>1045</v>
      </c>
      <c r="J144" s="281">
        <f>[11]Summary!J204</f>
        <v>1192</v>
      </c>
      <c r="K144" s="281">
        <f>[11]Summary!K204</f>
        <v>1892</v>
      </c>
      <c r="L144" s="281">
        <f>[11]Summary!L204</f>
        <v>741</v>
      </c>
      <c r="M144" s="281">
        <f>[11]Summary!M204</f>
        <v>15863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2:29" x14ac:dyDescent="0.25">
      <c r="B145" s="268" t="s">
        <v>21</v>
      </c>
      <c r="C145" s="274">
        <f>[11]Summary!C205</f>
        <v>206</v>
      </c>
      <c r="D145" s="274">
        <f>[11]Summary!D205</f>
        <v>16</v>
      </c>
      <c r="E145" s="274">
        <f>[11]Summary!E205</f>
        <v>73</v>
      </c>
      <c r="F145" s="274">
        <f>[11]Summary!F205</f>
        <v>1</v>
      </c>
      <c r="G145" s="275">
        <f>[11]Summary!G205</f>
        <v>0</v>
      </c>
      <c r="H145" s="276">
        <f>[11]Summary!H205</f>
        <v>24</v>
      </c>
      <c r="I145" s="276">
        <f>[11]Summary!I205</f>
        <v>17</v>
      </c>
      <c r="J145" s="275">
        <f>[11]Summary!J205</f>
        <v>55</v>
      </c>
      <c r="K145" s="275">
        <f>[11]Summary!K205</f>
        <v>169</v>
      </c>
      <c r="L145" s="277">
        <f>[11]Summary!L205</f>
        <v>41</v>
      </c>
      <c r="M145" s="277">
        <f>[11]Summary!M205</f>
        <v>602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2:29" x14ac:dyDescent="0.25">
      <c r="B146" s="268" t="s">
        <v>22</v>
      </c>
      <c r="C146" s="274">
        <f>[11]Summary!C206</f>
        <v>521</v>
      </c>
      <c r="D146" s="274">
        <f>[11]Summary!D206</f>
        <v>88</v>
      </c>
      <c r="E146" s="274">
        <f>[11]Summary!E206</f>
        <v>128</v>
      </c>
      <c r="F146" s="274">
        <f>[11]Summary!F206</f>
        <v>9</v>
      </c>
      <c r="G146" s="275">
        <f>[11]Summary!G206</f>
        <v>7</v>
      </c>
      <c r="H146" s="276">
        <f>[11]Summary!H206</f>
        <v>38</v>
      </c>
      <c r="I146" s="276">
        <f>[11]Summary!I206</f>
        <v>81</v>
      </c>
      <c r="J146" s="275">
        <f>[11]Summary!J206</f>
        <v>113</v>
      </c>
      <c r="K146" s="275">
        <f>[11]Summary!K206</f>
        <v>249</v>
      </c>
      <c r="L146" s="277">
        <f>[11]Summary!L206</f>
        <v>65</v>
      </c>
      <c r="M146" s="277">
        <f>[11]Summary!M206</f>
        <v>1299</v>
      </c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2:29" x14ac:dyDescent="0.25">
      <c r="B147" s="268" t="s">
        <v>23</v>
      </c>
      <c r="C147" s="274">
        <f>[11]Summary!C207</f>
        <v>1325</v>
      </c>
      <c r="D147" s="274">
        <f>[11]Summary!D207</f>
        <v>90</v>
      </c>
      <c r="E147" s="274">
        <f>[11]Summary!E207</f>
        <v>162</v>
      </c>
      <c r="F147" s="274">
        <f>[11]Summary!F207</f>
        <v>38</v>
      </c>
      <c r="G147" s="275">
        <f>[11]Summary!G207</f>
        <v>24</v>
      </c>
      <c r="H147" s="276">
        <f>[11]Summary!H207</f>
        <v>119</v>
      </c>
      <c r="I147" s="276">
        <f>[11]Summary!I207</f>
        <v>176</v>
      </c>
      <c r="J147" s="275">
        <f>[11]Summary!J207</f>
        <v>209</v>
      </c>
      <c r="K147" s="275">
        <f>[11]Summary!K207</f>
        <v>316</v>
      </c>
      <c r="L147" s="277">
        <f>[11]Summary!L207</f>
        <v>137</v>
      </c>
      <c r="M147" s="277">
        <f>[11]Summary!M207</f>
        <v>2596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2:29" x14ac:dyDescent="0.25">
      <c r="B148" s="280" t="s">
        <v>24</v>
      </c>
      <c r="C148" s="281">
        <f>[11]Summary!C208</f>
        <v>2052</v>
      </c>
      <c r="D148" s="281">
        <f>[11]Summary!D208</f>
        <v>194</v>
      </c>
      <c r="E148" s="281">
        <f>[11]Summary!E208</f>
        <v>363</v>
      </c>
      <c r="F148" s="281">
        <f>[11]Summary!F208</f>
        <v>48</v>
      </c>
      <c r="G148" s="281">
        <f>[11]Summary!G208</f>
        <v>31</v>
      </c>
      <c r="H148" s="281">
        <f>[11]Summary!H208</f>
        <v>181</v>
      </c>
      <c r="I148" s="281">
        <f>[11]Summary!I208</f>
        <v>274</v>
      </c>
      <c r="J148" s="281">
        <f>[11]Summary!J208</f>
        <v>377</v>
      </c>
      <c r="K148" s="281">
        <f>[11]Summary!K208</f>
        <v>734</v>
      </c>
      <c r="L148" s="281">
        <f>[11]Summary!L208</f>
        <v>243</v>
      </c>
      <c r="M148" s="281">
        <f>[11]Summary!M208</f>
        <v>4497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2:29" ht="16.5" thickBot="1" x14ac:dyDescent="0.3">
      <c r="B149" s="284" t="s">
        <v>7</v>
      </c>
      <c r="C149" s="285">
        <f>[11]Summary!C209</f>
        <v>43327</v>
      </c>
      <c r="D149" s="285">
        <f>[11]Summary!D209</f>
        <v>2819</v>
      </c>
      <c r="E149" s="285">
        <f>[11]Summary!E209</f>
        <v>3303</v>
      </c>
      <c r="F149" s="285">
        <f>[11]Summary!F209</f>
        <v>1038</v>
      </c>
      <c r="G149" s="285">
        <f>[11]Summary!G209</f>
        <v>416</v>
      </c>
      <c r="H149" s="285">
        <f>[11]Summary!H209</f>
        <v>3680</v>
      </c>
      <c r="I149" s="285">
        <f>[11]Summary!I209</f>
        <v>2388</v>
      </c>
      <c r="J149" s="285">
        <f>[11]Summary!J209</f>
        <v>3294</v>
      </c>
      <c r="K149" s="285">
        <f>[11]Summary!K209</f>
        <v>5250</v>
      </c>
      <c r="L149" s="285">
        <f>[11]Summary!L209</f>
        <v>2739</v>
      </c>
      <c r="M149" s="285">
        <f>[11]Summary!M209</f>
        <v>68254</v>
      </c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2:29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25"/>
      <c r="O150" s="220"/>
      <c r="P150" s="220"/>
      <c r="Q150" s="220"/>
      <c r="R150" s="25"/>
      <c r="S150" s="25"/>
      <c r="T150" s="25"/>
      <c r="U150" s="25"/>
      <c r="V150" s="25"/>
      <c r="W150" s="25"/>
      <c r="X150" s="25"/>
      <c r="Y150" s="25"/>
      <c r="Z150" s="25"/>
      <c r="AA150" s="219"/>
      <c r="AB150" s="25"/>
    </row>
    <row r="151" spans="2:29" ht="20.25" x14ac:dyDescent="0.3">
      <c r="B151" s="287" t="s">
        <v>188</v>
      </c>
      <c r="C151" s="259"/>
      <c r="D151" s="259"/>
      <c r="E151" s="259"/>
      <c r="F151" s="259"/>
      <c r="G151" s="259"/>
      <c r="H151" s="259"/>
      <c r="I151" s="259"/>
      <c r="J151" s="259"/>
      <c r="K151" s="259"/>
      <c r="L151" s="259"/>
      <c r="M151" s="259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2:29" s="263" customFormat="1" ht="15" x14ac:dyDescent="0.25">
      <c r="B152" s="264" t="s">
        <v>25</v>
      </c>
      <c r="C152" s="265" t="s">
        <v>2</v>
      </c>
      <c r="D152" s="265" t="s">
        <v>4</v>
      </c>
      <c r="E152" s="265" t="s">
        <v>26</v>
      </c>
      <c r="F152" s="265" t="s">
        <v>5</v>
      </c>
      <c r="G152" s="265" t="s">
        <v>6</v>
      </c>
      <c r="H152" s="265" t="s">
        <v>27</v>
      </c>
      <c r="I152" s="265" t="s">
        <v>28</v>
      </c>
      <c r="J152" s="266" t="s">
        <v>29</v>
      </c>
      <c r="K152" s="266" t="s">
        <v>30</v>
      </c>
      <c r="L152" s="265" t="s">
        <v>3</v>
      </c>
      <c r="M152" s="265" t="s">
        <v>31</v>
      </c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2:29" x14ac:dyDescent="0.25">
      <c r="B153" s="268" t="s">
        <v>9</v>
      </c>
      <c r="C153" s="269">
        <f>[11]Summary!C213</f>
        <v>4591</v>
      </c>
      <c r="D153" s="269">
        <f>[11]Summary!D213</f>
        <v>1066</v>
      </c>
      <c r="E153" s="269">
        <f>[11]Summary!E213</f>
        <v>238</v>
      </c>
      <c r="F153" s="269">
        <f>[11]Summary!F213</f>
        <v>497</v>
      </c>
      <c r="G153" s="270">
        <f>[11]Summary!G213</f>
        <v>207</v>
      </c>
      <c r="H153" s="271">
        <f>[11]Summary!H213</f>
        <v>2066</v>
      </c>
      <c r="I153" s="271">
        <f>[11]Summary!I213</f>
        <v>604</v>
      </c>
      <c r="J153" s="270">
        <f>[11]Summary!J213</f>
        <v>414</v>
      </c>
      <c r="K153" s="270">
        <f>[11]Summary!K213</f>
        <v>371</v>
      </c>
      <c r="L153" s="272">
        <f>[11]Summary!L213</f>
        <v>793</v>
      </c>
      <c r="M153" s="272">
        <f>[11]Summary!M213</f>
        <v>10847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2:29" x14ac:dyDescent="0.25">
      <c r="B154" s="268" t="s">
        <v>10</v>
      </c>
      <c r="C154" s="274">
        <f>[11]Summary!C214</f>
        <v>4786</v>
      </c>
      <c r="D154" s="274">
        <f>[11]Summary!D214</f>
        <v>860</v>
      </c>
      <c r="E154" s="274">
        <f>[11]Summary!E214</f>
        <v>327</v>
      </c>
      <c r="F154" s="274">
        <f>[11]Summary!F214</f>
        <v>165</v>
      </c>
      <c r="G154" s="275">
        <f>[11]Summary!G214</f>
        <v>137</v>
      </c>
      <c r="H154" s="276">
        <f>[11]Summary!H214</f>
        <v>1954</v>
      </c>
      <c r="I154" s="276">
        <f>[11]Summary!I214</f>
        <v>590</v>
      </c>
      <c r="J154" s="275">
        <f>[11]Summary!J214</f>
        <v>357</v>
      </c>
      <c r="K154" s="275">
        <f>[11]Summary!K214</f>
        <v>285</v>
      </c>
      <c r="L154" s="277">
        <f>[11]Summary!L214</f>
        <v>705</v>
      </c>
      <c r="M154" s="277">
        <f>[11]Summary!M214</f>
        <v>10166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2:29" x14ac:dyDescent="0.25">
      <c r="B155" s="268" t="s">
        <v>47</v>
      </c>
      <c r="C155" s="274">
        <f>[11]Summary!C215</f>
        <v>5101</v>
      </c>
      <c r="D155" s="274">
        <f>[11]Summary!D215</f>
        <v>1021</v>
      </c>
      <c r="E155" s="274">
        <f>[11]Summary!E215</f>
        <v>472</v>
      </c>
      <c r="F155" s="274">
        <f>[11]Summary!F215</f>
        <v>203</v>
      </c>
      <c r="G155" s="275">
        <f>[11]Summary!G215</f>
        <v>307</v>
      </c>
      <c r="H155" s="276">
        <f>[11]Summary!H215</f>
        <v>1947</v>
      </c>
      <c r="I155" s="276">
        <f>[11]Summary!I215</f>
        <v>433</v>
      </c>
      <c r="J155" s="275">
        <f>[11]Summary!J215</f>
        <v>406</v>
      </c>
      <c r="K155" s="275">
        <f>[11]Summary!K215</f>
        <v>229</v>
      </c>
      <c r="L155" s="277">
        <f>[11]Summary!L215</f>
        <v>549</v>
      </c>
      <c r="M155" s="277">
        <f>[11]Summary!M215</f>
        <v>10668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2:29" x14ac:dyDescent="0.25">
      <c r="B156" s="280" t="s">
        <v>12</v>
      </c>
      <c r="C156" s="281">
        <f>[11]Summary!C216</f>
        <v>14478</v>
      </c>
      <c r="D156" s="281">
        <f>[11]Summary!D216</f>
        <v>2947</v>
      </c>
      <c r="E156" s="281">
        <f>[11]Summary!E216</f>
        <v>1037</v>
      </c>
      <c r="F156" s="281">
        <f>[11]Summary!F216</f>
        <v>865</v>
      </c>
      <c r="G156" s="281">
        <f>[11]Summary!G216</f>
        <v>651</v>
      </c>
      <c r="H156" s="281">
        <f>[11]Summary!H216</f>
        <v>5967</v>
      </c>
      <c r="I156" s="281">
        <f>[11]Summary!I216</f>
        <v>1627</v>
      </c>
      <c r="J156" s="281">
        <f>[11]Summary!J216</f>
        <v>1177</v>
      </c>
      <c r="K156" s="281">
        <f>[11]Summary!K216</f>
        <v>885</v>
      </c>
      <c r="L156" s="281">
        <f>[11]Summary!L216</f>
        <v>2047</v>
      </c>
      <c r="M156" s="281">
        <f>[11]Summary!M216</f>
        <v>31681</v>
      </c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2:29" x14ac:dyDescent="0.25">
      <c r="B157" s="268" t="s">
        <v>48</v>
      </c>
      <c r="C157" s="274">
        <f>[11]Summary!C217</f>
        <v>5622</v>
      </c>
      <c r="D157" s="274">
        <f>[11]Summary!D217</f>
        <v>673</v>
      </c>
      <c r="E157" s="274">
        <f>[11]Summary!E217</f>
        <v>257</v>
      </c>
      <c r="F157" s="274">
        <f>[11]Summary!F217</f>
        <v>73</v>
      </c>
      <c r="G157" s="275">
        <f>[11]Summary!G217</f>
        <v>89</v>
      </c>
      <c r="H157" s="276">
        <f>[11]Summary!H217</f>
        <v>1487</v>
      </c>
      <c r="I157" s="276">
        <f>[11]Summary!I217</f>
        <v>551</v>
      </c>
      <c r="J157" s="275">
        <f>[11]Summary!J217</f>
        <v>434</v>
      </c>
      <c r="K157" s="275">
        <f>[11]Summary!K217</f>
        <v>311</v>
      </c>
      <c r="L157" s="277">
        <f>[11]Summary!L217</f>
        <v>457</v>
      </c>
      <c r="M157" s="277">
        <f>[11]Summary!M217</f>
        <v>9954</v>
      </c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2:29" x14ac:dyDescent="0.25">
      <c r="B158" s="268" t="s">
        <v>14</v>
      </c>
      <c r="C158" s="274">
        <f>[11]Summary!C218</f>
        <v>4340</v>
      </c>
      <c r="D158" s="274">
        <f>[11]Summary!D218</f>
        <v>377</v>
      </c>
      <c r="E158" s="274">
        <f>[11]Summary!E218</f>
        <v>116</v>
      </c>
      <c r="F158" s="274">
        <f>[11]Summary!F218</f>
        <v>26</v>
      </c>
      <c r="G158" s="275">
        <f>[11]Summary!G218</f>
        <v>35</v>
      </c>
      <c r="H158" s="276">
        <f>[11]Summary!H218</f>
        <v>823</v>
      </c>
      <c r="I158" s="276">
        <f>[11]Summary!I218</f>
        <v>413</v>
      </c>
      <c r="J158" s="275">
        <f>[11]Summary!J218</f>
        <v>453</v>
      </c>
      <c r="K158" s="275">
        <f>[11]Summary!K218</f>
        <v>310</v>
      </c>
      <c r="L158" s="277">
        <f>[11]Summary!L218</f>
        <v>346</v>
      </c>
      <c r="M158" s="277">
        <f>[11]Summary!M218</f>
        <v>7239</v>
      </c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2:29" x14ac:dyDescent="0.25">
      <c r="B159" s="268" t="s">
        <v>49</v>
      </c>
      <c r="C159" s="274">
        <f>[11]Summary!C219</f>
        <v>6610</v>
      </c>
      <c r="D159" s="274">
        <f>[11]Summary!D219</f>
        <v>303</v>
      </c>
      <c r="E159" s="274">
        <f>[11]Summary!E219</f>
        <v>94</v>
      </c>
      <c r="F159" s="274">
        <f>[11]Summary!F219</f>
        <v>22</v>
      </c>
      <c r="G159" s="275">
        <f>[11]Summary!G219</f>
        <v>23</v>
      </c>
      <c r="H159" s="276">
        <f>[11]Summary!H219</f>
        <v>716</v>
      </c>
      <c r="I159" s="276">
        <f>[11]Summary!I219</f>
        <v>432</v>
      </c>
      <c r="J159" s="275">
        <f>[11]Summary!J219</f>
        <v>390</v>
      </c>
      <c r="K159" s="275">
        <f>[11]Summary!K219</f>
        <v>227</v>
      </c>
      <c r="L159" s="277">
        <f>[11]Summary!L219</f>
        <v>343</v>
      </c>
      <c r="M159" s="277">
        <f>[11]Summary!M219</f>
        <v>9160</v>
      </c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2:29" x14ac:dyDescent="0.25">
      <c r="B160" s="280" t="s">
        <v>16</v>
      </c>
      <c r="C160" s="281">
        <f>[11]Summary!C220</f>
        <v>16572</v>
      </c>
      <c r="D160" s="281">
        <f>[11]Summary!D220</f>
        <v>1353</v>
      </c>
      <c r="E160" s="281">
        <f>[11]Summary!E220</f>
        <v>467</v>
      </c>
      <c r="F160" s="281">
        <f>[11]Summary!F220</f>
        <v>121</v>
      </c>
      <c r="G160" s="281">
        <f>[11]Summary!G220</f>
        <v>147</v>
      </c>
      <c r="H160" s="281">
        <f>[11]Summary!H220</f>
        <v>3026</v>
      </c>
      <c r="I160" s="281">
        <f>[11]Summary!I220</f>
        <v>1396</v>
      </c>
      <c r="J160" s="281">
        <f>[11]Summary!J220</f>
        <v>1277</v>
      </c>
      <c r="K160" s="281">
        <f>[11]Summary!K220</f>
        <v>848</v>
      </c>
      <c r="L160" s="281">
        <f>[11]Summary!L220</f>
        <v>1146</v>
      </c>
      <c r="M160" s="281">
        <f>[11]Summary!M220</f>
        <v>26353</v>
      </c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2:29" x14ac:dyDescent="0.25">
      <c r="B161" s="268" t="s">
        <v>50</v>
      </c>
      <c r="C161" s="274">
        <f>[11]Summary!C221</f>
        <v>7364</v>
      </c>
      <c r="D161" s="274">
        <f>[11]Summary!D221</f>
        <v>468</v>
      </c>
      <c r="E161" s="274">
        <f>[11]Summary!E221</f>
        <v>110</v>
      </c>
      <c r="F161" s="274">
        <f>[11]Summary!F221</f>
        <v>29</v>
      </c>
      <c r="G161" s="275">
        <f>[11]Summary!G221</f>
        <v>26</v>
      </c>
      <c r="H161" s="276">
        <f>[11]Summary!H221</f>
        <v>1066</v>
      </c>
      <c r="I161" s="276">
        <f>[11]Summary!I221</f>
        <v>623</v>
      </c>
      <c r="J161" s="275">
        <f>[11]Summary!J221</f>
        <v>490</v>
      </c>
      <c r="K161" s="275">
        <f>[11]Summary!K221</f>
        <v>410</v>
      </c>
      <c r="L161" s="277">
        <f>[11]Summary!L221</f>
        <v>422</v>
      </c>
      <c r="M161" s="277">
        <f>[11]Summary!M221</f>
        <v>11008</v>
      </c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2:29" x14ac:dyDescent="0.25">
      <c r="B162" s="268" t="s">
        <v>51</v>
      </c>
      <c r="C162" s="274">
        <f>[11]Summary!C222</f>
        <v>5858</v>
      </c>
      <c r="D162" s="274">
        <f>[11]Summary!D222</f>
        <v>416</v>
      </c>
      <c r="E162" s="274">
        <f>[11]Summary!E222</f>
        <v>104</v>
      </c>
      <c r="F162" s="274">
        <f>[11]Summary!F222</f>
        <v>206</v>
      </c>
      <c r="G162" s="275">
        <f>[11]Summary!G222</f>
        <v>51</v>
      </c>
      <c r="H162" s="276">
        <f>[11]Summary!H222</f>
        <v>1561</v>
      </c>
      <c r="I162" s="276">
        <f>[11]Summary!I222</f>
        <v>690</v>
      </c>
      <c r="J162" s="275">
        <f>[11]Summary!J222</f>
        <v>476</v>
      </c>
      <c r="K162" s="275">
        <f>[11]Summary!K222</f>
        <v>419</v>
      </c>
      <c r="L162" s="277">
        <f>[11]Summary!L222</f>
        <v>379</v>
      </c>
      <c r="M162" s="277">
        <f>[11]Summary!M222</f>
        <v>10160</v>
      </c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2:29" x14ac:dyDescent="0.25">
      <c r="B163" s="268" t="s">
        <v>19</v>
      </c>
      <c r="C163" s="274">
        <f>[11]Summary!C223</f>
        <v>130</v>
      </c>
      <c r="D163" s="274">
        <f>[11]Summary!D223</f>
        <v>24</v>
      </c>
      <c r="E163" s="274">
        <f>[11]Summary!E223</f>
        <v>6</v>
      </c>
      <c r="F163" s="274">
        <f>[11]Summary!F223</f>
        <v>4</v>
      </c>
      <c r="G163" s="275">
        <f>[11]Summary!G223</f>
        <v>3</v>
      </c>
      <c r="H163" s="276">
        <f>[11]Summary!H223</f>
        <v>34</v>
      </c>
      <c r="I163" s="276">
        <f>[11]Summary!I223</f>
        <v>14</v>
      </c>
      <c r="J163" s="275">
        <f>[11]Summary!J223</f>
        <v>27</v>
      </c>
      <c r="K163" s="275">
        <f>[11]Summary!K223</f>
        <v>47</v>
      </c>
      <c r="L163" s="277">
        <f>[11]Summary!L223</f>
        <v>13</v>
      </c>
      <c r="M163" s="277">
        <f>[11]Summary!M223</f>
        <v>302</v>
      </c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2:29" x14ac:dyDescent="0.25">
      <c r="B164" s="280" t="s">
        <v>20</v>
      </c>
      <c r="C164" s="281">
        <f>[11]Summary!C224</f>
        <v>13352</v>
      </c>
      <c r="D164" s="281">
        <f>[11]Summary!D224</f>
        <v>908</v>
      </c>
      <c r="E164" s="281">
        <f>[11]Summary!E224</f>
        <v>220</v>
      </c>
      <c r="F164" s="281">
        <f>[11]Summary!F224</f>
        <v>239</v>
      </c>
      <c r="G164" s="281">
        <f>[11]Summary!G224</f>
        <v>80</v>
      </c>
      <c r="H164" s="281">
        <f>[11]Summary!H224</f>
        <v>2661</v>
      </c>
      <c r="I164" s="281">
        <f>[11]Summary!I224</f>
        <v>1327</v>
      </c>
      <c r="J164" s="281">
        <f>[11]Summary!J224</f>
        <v>993</v>
      </c>
      <c r="K164" s="281">
        <f>[11]Summary!K224</f>
        <v>876</v>
      </c>
      <c r="L164" s="281">
        <f>[11]Summary!L224</f>
        <v>814</v>
      </c>
      <c r="M164" s="281">
        <f>[11]Summary!M224</f>
        <v>21470</v>
      </c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2:29" x14ac:dyDescent="0.25">
      <c r="B165" s="268" t="s">
        <v>21</v>
      </c>
      <c r="C165" s="274">
        <f>[11]Summary!C225</f>
        <v>36</v>
      </c>
      <c r="D165" s="274">
        <f>[11]Summary!D225</f>
        <v>2</v>
      </c>
      <c r="E165" s="274">
        <f>[11]Summary!E225</f>
        <v>8</v>
      </c>
      <c r="F165" s="274">
        <f>[11]Summary!F225</f>
        <v>0</v>
      </c>
      <c r="G165" s="275">
        <f>[11]Summary!G225</f>
        <v>1</v>
      </c>
      <c r="H165" s="276">
        <f>[11]Summary!H225</f>
        <v>51</v>
      </c>
      <c r="I165" s="276">
        <f>[11]Summary!I225</f>
        <v>19</v>
      </c>
      <c r="J165" s="275">
        <f>[11]Summary!J225</f>
        <v>65</v>
      </c>
      <c r="K165" s="275">
        <f>[11]Summary!K225</f>
        <v>40</v>
      </c>
      <c r="L165" s="277">
        <f>[11]Summary!L225</f>
        <v>9</v>
      </c>
      <c r="M165" s="277">
        <f>[11]Summary!M225</f>
        <v>231</v>
      </c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2:29" x14ac:dyDescent="0.25">
      <c r="B166" s="268" t="s">
        <v>22</v>
      </c>
      <c r="C166" s="274">
        <f>[11]Summary!C226</f>
        <v>203</v>
      </c>
      <c r="D166" s="274">
        <f>[11]Summary!D226</f>
        <v>16</v>
      </c>
      <c r="E166" s="274">
        <f>[11]Summary!E226</f>
        <v>55</v>
      </c>
      <c r="F166" s="274">
        <f>[11]Summary!F226</f>
        <v>2</v>
      </c>
      <c r="G166" s="275">
        <f>[11]Summary!G226</f>
        <v>5</v>
      </c>
      <c r="H166" s="276">
        <f>[11]Summary!H226</f>
        <v>122</v>
      </c>
      <c r="I166" s="276">
        <f>[11]Summary!I226</f>
        <v>193</v>
      </c>
      <c r="J166" s="275">
        <f>[11]Summary!J226</f>
        <v>237</v>
      </c>
      <c r="K166" s="275">
        <f>[11]Summary!K226</f>
        <v>161</v>
      </c>
      <c r="L166" s="277">
        <f>[11]Summary!L226</f>
        <v>59</v>
      </c>
      <c r="M166" s="277">
        <f>[11]Summary!M226</f>
        <v>1053</v>
      </c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2:29" x14ac:dyDescent="0.25">
      <c r="B167" s="268" t="s">
        <v>23</v>
      </c>
      <c r="C167" s="274">
        <f>[11]Summary!C227</f>
        <v>342</v>
      </c>
      <c r="D167" s="274">
        <f>[11]Summary!D227</f>
        <v>29</v>
      </c>
      <c r="E167" s="274">
        <f>[11]Summary!E227</f>
        <v>81</v>
      </c>
      <c r="F167" s="274">
        <f>[11]Summary!F227</f>
        <v>16</v>
      </c>
      <c r="G167" s="275">
        <f>[11]Summary!G227</f>
        <v>9</v>
      </c>
      <c r="H167" s="276">
        <f>[11]Summary!H227</f>
        <v>338</v>
      </c>
      <c r="I167" s="276">
        <f>[11]Summary!I227</f>
        <v>251</v>
      </c>
      <c r="J167" s="275">
        <f>[11]Summary!J227</f>
        <v>320</v>
      </c>
      <c r="K167" s="275">
        <f>[11]Summary!K227</f>
        <v>167</v>
      </c>
      <c r="L167" s="277">
        <f>[11]Summary!L227</f>
        <v>83</v>
      </c>
      <c r="M167" s="277">
        <f>[11]Summary!M227</f>
        <v>1636</v>
      </c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2:29" x14ac:dyDescent="0.25">
      <c r="B168" s="280" t="s">
        <v>24</v>
      </c>
      <c r="C168" s="281">
        <f>[11]Summary!C228</f>
        <v>581</v>
      </c>
      <c r="D168" s="281">
        <f>[11]Summary!D228</f>
        <v>47</v>
      </c>
      <c r="E168" s="281">
        <f>[11]Summary!E228</f>
        <v>144</v>
      </c>
      <c r="F168" s="281">
        <f>[11]Summary!F228</f>
        <v>18</v>
      </c>
      <c r="G168" s="281">
        <f>[11]Summary!G228</f>
        <v>15</v>
      </c>
      <c r="H168" s="281">
        <f>[11]Summary!H228</f>
        <v>511</v>
      </c>
      <c r="I168" s="281">
        <f>[11]Summary!I228</f>
        <v>463</v>
      </c>
      <c r="J168" s="281">
        <f>[11]Summary!J228</f>
        <v>622</v>
      </c>
      <c r="K168" s="281">
        <f>[11]Summary!K228</f>
        <v>368</v>
      </c>
      <c r="L168" s="281">
        <f>[11]Summary!L228</f>
        <v>151</v>
      </c>
      <c r="M168" s="281">
        <f>[11]Summary!M228</f>
        <v>2920</v>
      </c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2:29" ht="16.5" thickBot="1" x14ac:dyDescent="0.3">
      <c r="B169" s="284" t="s">
        <v>7</v>
      </c>
      <c r="C169" s="285">
        <f>[11]Summary!C229</f>
        <v>44983</v>
      </c>
      <c r="D169" s="285">
        <f>[11]Summary!D229</f>
        <v>5255</v>
      </c>
      <c r="E169" s="285">
        <f>[11]Summary!E229</f>
        <v>1868</v>
      </c>
      <c r="F169" s="285">
        <f>[11]Summary!F229</f>
        <v>1243</v>
      </c>
      <c r="G169" s="285">
        <f>[11]Summary!G229</f>
        <v>893</v>
      </c>
      <c r="H169" s="285">
        <f>[11]Summary!H229</f>
        <v>12165</v>
      </c>
      <c r="I169" s="285">
        <f>[11]Summary!I229</f>
        <v>4813</v>
      </c>
      <c r="J169" s="285">
        <f>[11]Summary!J229</f>
        <v>4069</v>
      </c>
      <c r="K169" s="285">
        <f>[11]Summary!K229</f>
        <v>2977</v>
      </c>
      <c r="L169" s="285">
        <f>[11]Summary!L229</f>
        <v>4158</v>
      </c>
      <c r="M169" s="285">
        <f>[11]Summary!M229</f>
        <v>82424</v>
      </c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2:29" x14ac:dyDescent="0.25">
      <c r="B170" s="19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5"/>
      <c r="O170" s="220"/>
      <c r="P170" s="220"/>
      <c r="Q170" s="220"/>
      <c r="R170" s="25"/>
      <c r="S170" s="25"/>
      <c r="T170" s="25"/>
      <c r="U170" s="25"/>
      <c r="V170" s="25"/>
      <c r="W170" s="25"/>
      <c r="X170" s="25"/>
      <c r="Y170" s="221"/>
      <c r="Z170" s="25"/>
      <c r="AA170" s="219"/>
      <c r="AB170" s="221"/>
    </row>
    <row r="171" spans="2:29" ht="20.25" x14ac:dyDescent="0.3">
      <c r="B171" s="287" t="s">
        <v>207</v>
      </c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M171" s="259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2:29" s="263" customFormat="1" ht="15" x14ac:dyDescent="0.25">
      <c r="B172" s="264" t="s">
        <v>25</v>
      </c>
      <c r="C172" s="265" t="s">
        <v>2</v>
      </c>
      <c r="D172" s="265" t="s">
        <v>4</v>
      </c>
      <c r="E172" s="265" t="s">
        <v>26</v>
      </c>
      <c r="F172" s="265" t="s">
        <v>5</v>
      </c>
      <c r="G172" s="265" t="s">
        <v>6</v>
      </c>
      <c r="H172" s="265" t="s">
        <v>27</v>
      </c>
      <c r="I172" s="265" t="s">
        <v>28</v>
      </c>
      <c r="J172" s="266" t="s">
        <v>29</v>
      </c>
      <c r="K172" s="266" t="s">
        <v>30</v>
      </c>
      <c r="L172" s="265" t="s">
        <v>3</v>
      </c>
      <c r="M172" s="265" t="s">
        <v>31</v>
      </c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2:29" x14ac:dyDescent="0.25">
      <c r="B173" s="268" t="s">
        <v>9</v>
      </c>
      <c r="C173" s="269">
        <f>'Data Entry'!B193</f>
        <v>1891</v>
      </c>
      <c r="D173" s="269">
        <f>'Data Entry'!C193</f>
        <v>218</v>
      </c>
      <c r="E173" s="269">
        <f>'Data Entry'!D193</f>
        <v>242</v>
      </c>
      <c r="F173" s="269">
        <f>'Data Entry'!E193</f>
        <v>46</v>
      </c>
      <c r="G173" s="270">
        <f>'Data Entry'!F193</f>
        <v>70</v>
      </c>
      <c r="H173" s="271">
        <f>'Data Entry'!G193+'Data Entry'!H193+'Data Entry'!I193+'Data Entry'!J193+'Data Entry'!K193+'Data Entry'!L193</f>
        <v>990</v>
      </c>
      <c r="I173" s="271">
        <f>'Data Entry'!AH193</f>
        <v>292</v>
      </c>
      <c r="J173" s="270">
        <f>'Data Entry'!AG193</f>
        <v>439</v>
      </c>
      <c r="K173" s="270">
        <f>'Data Entry'!AF193+'Data Entry'!AE193+'Data Entry'!AD193+'Data Entry'!AC193+'Data Entry'!AB193+'Data Entry'!AA193+'Data Entry'!Z193+'Data Entry'!Y193+'Data Entry'!X193+'Data Entry'!W193+'Data Entry'!V193+'Data Entry'!U193+'Data Entry'!T193+'Data Entry'!S193+'Data Entry'!R193+'Data Entry'!Q193+'Data Entry'!P193+'Data Entry'!O193+'Data Entry'!N193+'Data Entry'!M193</f>
        <v>508</v>
      </c>
      <c r="L173" s="272">
        <f>'Data Entry'!AJ193+'Data Entry'!AI193</f>
        <v>288</v>
      </c>
      <c r="M173" s="272">
        <f>SUM(C173:L173)</f>
        <v>4984</v>
      </c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2:29" x14ac:dyDescent="0.25">
      <c r="B174" s="268" t="s">
        <v>10</v>
      </c>
      <c r="C174" s="274">
        <f>'Data Entry'!B198</f>
        <v>2650</v>
      </c>
      <c r="D174" s="274">
        <f>'Data Entry'!C198</f>
        <v>189</v>
      </c>
      <c r="E174" s="274">
        <f>'Data Entry'!D198</f>
        <v>276</v>
      </c>
      <c r="F174" s="274">
        <f>'Data Entry'!E198</f>
        <v>36</v>
      </c>
      <c r="G174" s="275">
        <f>'Data Entry'!F198</f>
        <v>82</v>
      </c>
      <c r="H174" s="276">
        <f>'Data Entry'!G198+'Data Entry'!H198+'Data Entry'!I198+'Data Entry'!J198+'Data Entry'!K198+'Data Entry'!L198</f>
        <v>801</v>
      </c>
      <c r="I174" s="276">
        <f>'Data Entry'!AH198</f>
        <v>324</v>
      </c>
      <c r="J174" s="275">
        <f>'Data Entry'!AG198</f>
        <v>404</v>
      </c>
      <c r="K174" s="275">
        <f>'Data Entry'!AF198+'Data Entry'!AE198+'Data Entry'!AD198+'Data Entry'!AC198+'Data Entry'!AB198+'Data Entry'!AA198+'Data Entry'!Z198+'Data Entry'!Y198+'Data Entry'!X198+'Data Entry'!W198+'Data Entry'!V198+'Data Entry'!U198+'Data Entry'!T198+'Data Entry'!S198+'Data Entry'!R198+'Data Entry'!Q198+'Data Entry'!P198+'Data Entry'!O198+'Data Entry'!N198+'Data Entry'!M198</f>
        <v>516</v>
      </c>
      <c r="L174" s="277">
        <f>'Data Entry'!AJ198+'Data Entry'!AI198</f>
        <v>271</v>
      </c>
      <c r="M174" s="277">
        <f>SUM(C174:L174)</f>
        <v>5549</v>
      </c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2:29" x14ac:dyDescent="0.25">
      <c r="B175" s="268" t="s">
        <v>47</v>
      </c>
      <c r="C175" s="274"/>
      <c r="D175" s="274"/>
      <c r="E175" s="274"/>
      <c r="F175" s="274"/>
      <c r="G175" s="275"/>
      <c r="H175" s="276"/>
      <c r="I175" s="276"/>
      <c r="J175" s="275"/>
      <c r="K175" s="275"/>
      <c r="L175" s="277"/>
      <c r="M175" s="277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2:29" x14ac:dyDescent="0.25">
      <c r="B176" s="280" t="s">
        <v>12</v>
      </c>
      <c r="C176" s="281">
        <f>SUM(C173:C175)</f>
        <v>4541</v>
      </c>
      <c r="D176" s="281">
        <f t="shared" ref="D176:L176" si="5">SUM(D173:D175)</f>
        <v>407</v>
      </c>
      <c r="E176" s="281">
        <f t="shared" si="5"/>
        <v>518</v>
      </c>
      <c r="F176" s="281">
        <f t="shared" si="5"/>
        <v>82</v>
      </c>
      <c r="G176" s="281">
        <f>SUM(G173:G175)</f>
        <v>152</v>
      </c>
      <c r="H176" s="281">
        <f t="shared" si="5"/>
        <v>1791</v>
      </c>
      <c r="I176" s="281">
        <f t="shared" si="5"/>
        <v>616</v>
      </c>
      <c r="J176" s="281">
        <f t="shared" si="5"/>
        <v>843</v>
      </c>
      <c r="K176" s="281">
        <f t="shared" si="5"/>
        <v>1024</v>
      </c>
      <c r="L176" s="281">
        <f t="shared" si="5"/>
        <v>559</v>
      </c>
      <c r="M176" s="281">
        <f>SUM(M173:M175)</f>
        <v>10533</v>
      </c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2:29" x14ac:dyDescent="0.25">
      <c r="B177" s="268" t="s">
        <v>48</v>
      </c>
      <c r="C177" s="274"/>
      <c r="D177" s="274"/>
      <c r="E177" s="274"/>
      <c r="F177" s="274"/>
      <c r="G177" s="275"/>
      <c r="H177" s="276"/>
      <c r="I177" s="276"/>
      <c r="J177" s="275"/>
      <c r="K177" s="275"/>
      <c r="L177" s="277"/>
      <c r="M177" s="277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2:29" x14ac:dyDescent="0.25">
      <c r="B178" s="268" t="s">
        <v>14</v>
      </c>
      <c r="C178" s="274"/>
      <c r="D178" s="274"/>
      <c r="E178" s="274"/>
      <c r="F178" s="274"/>
      <c r="G178" s="275"/>
      <c r="H178" s="276"/>
      <c r="I178" s="276"/>
      <c r="J178" s="275"/>
      <c r="K178" s="275"/>
      <c r="L178" s="277"/>
      <c r="M178" s="277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2:29" x14ac:dyDescent="0.25">
      <c r="B179" s="268" t="s">
        <v>49</v>
      </c>
      <c r="C179" s="274"/>
      <c r="D179" s="274"/>
      <c r="E179" s="274"/>
      <c r="F179" s="274"/>
      <c r="G179" s="275"/>
      <c r="H179" s="276"/>
      <c r="I179" s="276"/>
      <c r="J179" s="275"/>
      <c r="K179" s="275"/>
      <c r="L179" s="277"/>
      <c r="M179" s="277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2:29" x14ac:dyDescent="0.25">
      <c r="B180" s="280" t="s">
        <v>16</v>
      </c>
      <c r="C180" s="281"/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2:29" x14ac:dyDescent="0.25">
      <c r="B181" s="268" t="s">
        <v>50</v>
      </c>
      <c r="C181" s="274"/>
      <c r="D181" s="274"/>
      <c r="E181" s="274"/>
      <c r="F181" s="274"/>
      <c r="G181" s="275"/>
      <c r="H181" s="276"/>
      <c r="I181" s="276"/>
      <c r="J181" s="275"/>
      <c r="K181" s="275"/>
      <c r="L181" s="277"/>
      <c r="M181" s="277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2:29" x14ac:dyDescent="0.25">
      <c r="B182" s="268" t="s">
        <v>51</v>
      </c>
      <c r="C182" s="274"/>
      <c r="D182" s="274"/>
      <c r="E182" s="274"/>
      <c r="F182" s="274"/>
      <c r="G182" s="275"/>
      <c r="H182" s="276"/>
      <c r="I182" s="276"/>
      <c r="J182" s="275"/>
      <c r="K182" s="275"/>
      <c r="L182" s="277"/>
      <c r="M182" s="277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2:29" x14ac:dyDescent="0.25">
      <c r="B183" s="268" t="s">
        <v>19</v>
      </c>
      <c r="C183" s="274"/>
      <c r="D183" s="274"/>
      <c r="E183" s="274"/>
      <c r="F183" s="274"/>
      <c r="G183" s="275"/>
      <c r="H183" s="276"/>
      <c r="I183" s="276"/>
      <c r="J183" s="275"/>
      <c r="K183" s="275"/>
      <c r="L183" s="277"/>
      <c r="M183" s="277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2:29" x14ac:dyDescent="0.25">
      <c r="B184" s="280" t="s">
        <v>20</v>
      </c>
      <c r="C184" s="281"/>
      <c r="D184" s="281"/>
      <c r="E184" s="281"/>
      <c r="F184" s="281"/>
      <c r="G184" s="281"/>
      <c r="H184" s="281"/>
      <c r="I184" s="281"/>
      <c r="J184" s="281"/>
      <c r="K184" s="281"/>
      <c r="L184" s="281"/>
      <c r="M184" s="281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2:29" x14ac:dyDescent="0.25">
      <c r="B185" s="268" t="s">
        <v>21</v>
      </c>
      <c r="C185" s="274"/>
      <c r="D185" s="274"/>
      <c r="E185" s="274"/>
      <c r="F185" s="274"/>
      <c r="G185" s="275"/>
      <c r="H185" s="276"/>
      <c r="I185" s="276"/>
      <c r="J185" s="275"/>
      <c r="K185" s="275"/>
      <c r="L185" s="277"/>
      <c r="M185" s="277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2:29" x14ac:dyDescent="0.25">
      <c r="B186" s="268" t="s">
        <v>22</v>
      </c>
      <c r="C186" s="274"/>
      <c r="D186" s="274"/>
      <c r="E186" s="274"/>
      <c r="F186" s="274"/>
      <c r="G186" s="275"/>
      <c r="H186" s="276"/>
      <c r="I186" s="276"/>
      <c r="J186" s="275"/>
      <c r="K186" s="275"/>
      <c r="L186" s="277"/>
      <c r="M186" s="277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2:29" x14ac:dyDescent="0.25">
      <c r="B187" s="268" t="s">
        <v>23</v>
      </c>
      <c r="C187" s="274"/>
      <c r="D187" s="274"/>
      <c r="E187" s="274"/>
      <c r="F187" s="274"/>
      <c r="G187" s="275"/>
      <c r="H187" s="276"/>
      <c r="I187" s="276"/>
      <c r="J187" s="275"/>
      <c r="K187" s="275"/>
      <c r="L187" s="277"/>
      <c r="M187" s="277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2:29" x14ac:dyDescent="0.25">
      <c r="B188" s="280" t="s">
        <v>24</v>
      </c>
      <c r="C188" s="281"/>
      <c r="D188" s="281"/>
      <c r="E188" s="281"/>
      <c r="F188" s="281"/>
      <c r="G188" s="281"/>
      <c r="H188" s="281"/>
      <c r="I188" s="281"/>
      <c r="J188" s="281"/>
      <c r="K188" s="281"/>
      <c r="L188" s="281"/>
      <c r="M188" s="281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2:29" ht="16.5" thickBot="1" x14ac:dyDescent="0.3">
      <c r="B189" s="284" t="s">
        <v>7</v>
      </c>
      <c r="C189" s="285">
        <f>C188+C184+C180+C176</f>
        <v>4541</v>
      </c>
      <c r="D189" s="285">
        <f t="shared" ref="D189:M189" si="6">D188+D184+D180+D176</f>
        <v>407</v>
      </c>
      <c r="E189" s="285">
        <f t="shared" si="6"/>
        <v>518</v>
      </c>
      <c r="F189" s="285">
        <f t="shared" si="6"/>
        <v>82</v>
      </c>
      <c r="G189" s="285">
        <f t="shared" si="6"/>
        <v>152</v>
      </c>
      <c r="H189" s="285">
        <f t="shared" si="6"/>
        <v>1791</v>
      </c>
      <c r="I189" s="285">
        <f t="shared" si="6"/>
        <v>616</v>
      </c>
      <c r="J189" s="285">
        <f t="shared" si="6"/>
        <v>843</v>
      </c>
      <c r="K189" s="285">
        <f t="shared" si="6"/>
        <v>1024</v>
      </c>
      <c r="L189" s="285">
        <f t="shared" si="6"/>
        <v>559</v>
      </c>
      <c r="M189" s="285">
        <f t="shared" si="6"/>
        <v>10533</v>
      </c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2:29" x14ac:dyDescent="0.25">
      <c r="B190" s="10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25"/>
      <c r="O190" s="220"/>
      <c r="P190" s="220"/>
      <c r="Q190" s="220"/>
      <c r="R190" s="25"/>
      <c r="S190" s="25"/>
      <c r="T190" s="25"/>
      <c r="U190" s="25"/>
      <c r="V190" s="25"/>
      <c r="W190" s="25"/>
      <c r="X190" s="25"/>
      <c r="Y190" s="25"/>
      <c r="Z190" s="25"/>
      <c r="AA190" s="219"/>
      <c r="AB190" s="25"/>
    </row>
    <row r="191" spans="2:29" ht="20.25" x14ac:dyDescent="0.3">
      <c r="B191" s="287" t="s">
        <v>208</v>
      </c>
      <c r="C191" s="259"/>
      <c r="D191" s="259"/>
      <c r="E191" s="259"/>
      <c r="F191" s="259"/>
      <c r="G191" s="259"/>
      <c r="H191" s="259"/>
      <c r="I191" s="259"/>
      <c r="J191" s="259"/>
      <c r="K191" s="259"/>
      <c r="L191" s="259"/>
      <c r="M191" s="259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2:29" s="263" customFormat="1" ht="15" x14ac:dyDescent="0.25">
      <c r="B192" s="264" t="s">
        <v>25</v>
      </c>
      <c r="C192" s="265" t="s">
        <v>2</v>
      </c>
      <c r="D192" s="265" t="s">
        <v>4</v>
      </c>
      <c r="E192" s="265" t="s">
        <v>26</v>
      </c>
      <c r="F192" s="265" t="s">
        <v>5</v>
      </c>
      <c r="G192" s="265" t="s">
        <v>6</v>
      </c>
      <c r="H192" s="265" t="s">
        <v>27</v>
      </c>
      <c r="I192" s="265" t="s">
        <v>28</v>
      </c>
      <c r="J192" s="266" t="s">
        <v>29</v>
      </c>
      <c r="K192" s="266" t="s">
        <v>30</v>
      </c>
      <c r="L192" s="265" t="s">
        <v>3</v>
      </c>
      <c r="M192" s="265" t="s">
        <v>7</v>
      </c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2:29" x14ac:dyDescent="0.25">
      <c r="B193" s="268" t="s">
        <v>9</v>
      </c>
      <c r="C193" s="269">
        <f>'Data Entry'!B320</f>
        <v>1503</v>
      </c>
      <c r="D193" s="269">
        <f>'Data Entry'!C320</f>
        <v>170</v>
      </c>
      <c r="E193" s="269">
        <f>'Data Entry'!D320</f>
        <v>155</v>
      </c>
      <c r="F193" s="269">
        <f>'Data Entry'!E320</f>
        <v>29</v>
      </c>
      <c r="G193" s="270">
        <f>'Data Entry'!F320</f>
        <v>22</v>
      </c>
      <c r="H193" s="271">
        <f>'Data Entry'!G320+'Data Entry'!H320+'Data Entry'!I320+'Data Entry'!J320+'Data Entry'!K320+'Data Entry'!L320</f>
        <v>136</v>
      </c>
      <c r="I193" s="271">
        <f>'Data Entry'!AH320</f>
        <v>136</v>
      </c>
      <c r="J193" s="270">
        <f>'Data Entry'!AG320</f>
        <v>187</v>
      </c>
      <c r="K193" s="270">
        <f>'Data Entry'!AF320+'Data Entry'!AE320+'Data Entry'!AD320+'Data Entry'!AC320+'Data Entry'!AB320+'Data Entry'!AA320+'Data Entry'!Z320+'Data Entry'!Y320+'Data Entry'!X320+'Data Entry'!W320+'Data Entry'!V320+'Data Entry'!U320+'Data Entry'!T320+'Data Entry'!S320+'Data Entry'!R320+'Data Entry'!Q320+'Data Entry'!P320+'Data Entry'!O320+'Data Entry'!N320+'Data Entry'!M320</f>
        <v>327</v>
      </c>
      <c r="L193" s="272">
        <f>'Data Entry'!AJ320+'Data Entry'!AI320</f>
        <v>139</v>
      </c>
      <c r="M193" s="272">
        <f>SUM(C193:L193)</f>
        <v>2804</v>
      </c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2:29" x14ac:dyDescent="0.25">
      <c r="B194" s="268" t="s">
        <v>10</v>
      </c>
      <c r="C194" s="274">
        <f>'Data Entry'!B325</f>
        <v>2003</v>
      </c>
      <c r="D194" s="274">
        <f>'Data Entry'!C325</f>
        <v>114</v>
      </c>
      <c r="E194" s="274">
        <f>'Data Entry'!D325</f>
        <v>169</v>
      </c>
      <c r="F194" s="274">
        <f>'Data Entry'!E325</f>
        <v>16</v>
      </c>
      <c r="G194" s="275">
        <f>'Data Entry'!F325</f>
        <v>14</v>
      </c>
      <c r="H194" s="276">
        <f>'Data Entry'!G325+'Data Entry'!H325+'Data Entry'!I325+'Data Entry'!J325+'Data Entry'!K325+'Data Entry'!L325</f>
        <v>168</v>
      </c>
      <c r="I194" s="276">
        <f>'Data Entry'!AH325</f>
        <v>139</v>
      </c>
      <c r="J194" s="275">
        <f>'Data Entry'!AG325</f>
        <v>147</v>
      </c>
      <c r="K194" s="275">
        <f>'Data Entry'!AF325+'Data Entry'!AE325+'Data Entry'!AD325+'Data Entry'!AC325+'Data Entry'!AB325+'Data Entry'!AA325+'Data Entry'!Z325+'Data Entry'!Y325+'Data Entry'!X325+'Data Entry'!W325+'Data Entry'!V325+'Data Entry'!U325+'Data Entry'!T325+'Data Entry'!S325+'Data Entry'!R325+'Data Entry'!Q325+'Data Entry'!P325+'Data Entry'!O325+'Data Entry'!N325+'Data Entry'!M325</f>
        <v>366</v>
      </c>
      <c r="L194" s="277">
        <f>'Data Entry'!AJ325+'Data Entry'!AI325</f>
        <v>124</v>
      </c>
      <c r="M194" s="277">
        <f>SUM(C194:L194)</f>
        <v>3260</v>
      </c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2:29" x14ac:dyDescent="0.25">
      <c r="B195" s="268" t="s">
        <v>47</v>
      </c>
      <c r="C195" s="274"/>
      <c r="D195" s="274"/>
      <c r="E195" s="274"/>
      <c r="F195" s="274"/>
      <c r="G195" s="275"/>
      <c r="H195" s="276"/>
      <c r="I195" s="276"/>
      <c r="J195" s="275"/>
      <c r="K195" s="275"/>
      <c r="L195" s="277"/>
      <c r="M195" s="277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2:29" x14ac:dyDescent="0.25">
      <c r="B196" s="280" t="s">
        <v>12</v>
      </c>
      <c r="C196" s="281">
        <f>SUM(C193:C195)</f>
        <v>3506</v>
      </c>
      <c r="D196" s="281">
        <f t="shared" ref="D196:M196" si="7">SUM(D193:D195)</f>
        <v>284</v>
      </c>
      <c r="E196" s="281">
        <f t="shared" si="7"/>
        <v>324</v>
      </c>
      <c r="F196" s="281">
        <f t="shared" si="7"/>
        <v>45</v>
      </c>
      <c r="G196" s="281">
        <f t="shared" si="7"/>
        <v>36</v>
      </c>
      <c r="H196" s="281">
        <f t="shared" si="7"/>
        <v>304</v>
      </c>
      <c r="I196" s="281">
        <f t="shared" si="7"/>
        <v>275</v>
      </c>
      <c r="J196" s="281">
        <f t="shared" si="7"/>
        <v>334</v>
      </c>
      <c r="K196" s="281">
        <f t="shared" si="7"/>
        <v>693</v>
      </c>
      <c r="L196" s="281">
        <f t="shared" si="7"/>
        <v>263</v>
      </c>
      <c r="M196" s="281">
        <f t="shared" si="7"/>
        <v>6064</v>
      </c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2:29" x14ac:dyDescent="0.25">
      <c r="B197" s="268" t="s">
        <v>48</v>
      </c>
      <c r="C197" s="274"/>
      <c r="D197" s="274"/>
      <c r="E197" s="274"/>
      <c r="F197" s="274"/>
      <c r="G197" s="275"/>
      <c r="H197" s="276"/>
      <c r="I197" s="276"/>
      <c r="J197" s="275"/>
      <c r="K197" s="275"/>
      <c r="L197" s="277"/>
      <c r="M197" s="277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2:29" x14ac:dyDescent="0.25">
      <c r="B198" s="268" t="s">
        <v>14</v>
      </c>
      <c r="C198" s="274"/>
      <c r="D198" s="274"/>
      <c r="E198" s="274"/>
      <c r="F198" s="274"/>
      <c r="G198" s="275"/>
      <c r="H198" s="276"/>
      <c r="I198" s="276"/>
      <c r="J198" s="275"/>
      <c r="K198" s="275"/>
      <c r="L198" s="277"/>
      <c r="M198" s="277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2:29" x14ac:dyDescent="0.25">
      <c r="B199" s="268" t="s">
        <v>49</v>
      </c>
      <c r="C199" s="274"/>
      <c r="D199" s="274"/>
      <c r="E199" s="274"/>
      <c r="F199" s="274"/>
      <c r="G199" s="275"/>
      <c r="H199" s="276"/>
      <c r="I199" s="276"/>
      <c r="J199" s="275"/>
      <c r="K199" s="275"/>
      <c r="L199" s="277"/>
      <c r="M199" s="277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2:29" x14ac:dyDescent="0.25">
      <c r="B200" s="280" t="s">
        <v>16</v>
      </c>
      <c r="C200" s="281"/>
      <c r="D200" s="281"/>
      <c r="E200" s="281"/>
      <c r="F200" s="281"/>
      <c r="G200" s="281"/>
      <c r="H200" s="281"/>
      <c r="I200" s="281"/>
      <c r="J200" s="281"/>
      <c r="K200" s="281"/>
      <c r="L200" s="281"/>
      <c r="M200" s="281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2:29" x14ac:dyDescent="0.25">
      <c r="B201" s="268" t="s">
        <v>50</v>
      </c>
      <c r="C201" s="274"/>
      <c r="D201" s="274"/>
      <c r="E201" s="274"/>
      <c r="F201" s="274"/>
      <c r="G201" s="275"/>
      <c r="H201" s="276"/>
      <c r="I201" s="276"/>
      <c r="J201" s="275"/>
      <c r="K201" s="275"/>
      <c r="L201" s="277"/>
      <c r="M201" s="277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2:29" x14ac:dyDescent="0.25">
      <c r="B202" s="268" t="s">
        <v>51</v>
      </c>
      <c r="C202" s="274"/>
      <c r="D202" s="274"/>
      <c r="E202" s="274"/>
      <c r="F202" s="274"/>
      <c r="G202" s="275"/>
      <c r="H202" s="276"/>
      <c r="I202" s="276"/>
      <c r="J202" s="275"/>
      <c r="K202" s="275"/>
      <c r="L202" s="277"/>
      <c r="M202" s="277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2:29" x14ac:dyDescent="0.25">
      <c r="B203" s="268" t="s">
        <v>19</v>
      </c>
      <c r="C203" s="274"/>
      <c r="D203" s="274"/>
      <c r="E203" s="274"/>
      <c r="F203" s="274"/>
      <c r="G203" s="275"/>
      <c r="H203" s="276"/>
      <c r="I203" s="276"/>
      <c r="J203" s="275"/>
      <c r="K203" s="275"/>
      <c r="L203" s="277"/>
      <c r="M203" s="277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2:29" x14ac:dyDescent="0.25">
      <c r="B204" s="280" t="s">
        <v>20</v>
      </c>
      <c r="C204" s="281"/>
      <c r="D204" s="281"/>
      <c r="E204" s="281"/>
      <c r="F204" s="281"/>
      <c r="G204" s="281"/>
      <c r="H204" s="281"/>
      <c r="I204" s="281"/>
      <c r="J204" s="281"/>
      <c r="K204" s="281"/>
      <c r="L204" s="281"/>
      <c r="M204" s="281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2:29" x14ac:dyDescent="0.25">
      <c r="B205" s="268" t="s">
        <v>21</v>
      </c>
      <c r="C205" s="274"/>
      <c r="D205" s="274"/>
      <c r="E205" s="274"/>
      <c r="F205" s="274"/>
      <c r="G205" s="275"/>
      <c r="H205" s="276"/>
      <c r="I205" s="276"/>
      <c r="J205" s="275"/>
      <c r="K205" s="275"/>
      <c r="L205" s="277"/>
      <c r="M205" s="277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2:29" x14ac:dyDescent="0.25">
      <c r="B206" s="268" t="s">
        <v>22</v>
      </c>
      <c r="C206" s="274"/>
      <c r="D206" s="274"/>
      <c r="E206" s="274"/>
      <c r="F206" s="274"/>
      <c r="G206" s="275"/>
      <c r="H206" s="276"/>
      <c r="I206" s="276"/>
      <c r="J206" s="275"/>
      <c r="K206" s="275"/>
      <c r="L206" s="277"/>
      <c r="M206" s="277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2:29" x14ac:dyDescent="0.25">
      <c r="B207" s="268" t="s">
        <v>23</v>
      </c>
      <c r="C207" s="274"/>
      <c r="D207" s="274"/>
      <c r="E207" s="274"/>
      <c r="F207" s="274"/>
      <c r="G207" s="275"/>
      <c r="H207" s="276"/>
      <c r="I207" s="276"/>
      <c r="J207" s="275"/>
      <c r="K207" s="275"/>
      <c r="L207" s="277"/>
      <c r="M207" s="277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2:29" x14ac:dyDescent="0.25">
      <c r="B208" s="280" t="s">
        <v>24</v>
      </c>
      <c r="C208" s="281"/>
      <c r="D208" s="281"/>
      <c r="E208" s="281"/>
      <c r="F208" s="281"/>
      <c r="G208" s="281"/>
      <c r="H208" s="281"/>
      <c r="I208" s="281"/>
      <c r="J208" s="281"/>
      <c r="K208" s="281"/>
      <c r="L208" s="281"/>
      <c r="M208" s="281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2:29" ht="16.5" thickBot="1" x14ac:dyDescent="0.3">
      <c r="B209" s="284" t="s">
        <v>7</v>
      </c>
      <c r="C209" s="285">
        <f>C208+C204+C200+C196</f>
        <v>3506</v>
      </c>
      <c r="D209" s="285">
        <f t="shared" ref="D209:M209" si="8">D208+D204+D200+D196</f>
        <v>284</v>
      </c>
      <c r="E209" s="285">
        <f t="shared" si="8"/>
        <v>324</v>
      </c>
      <c r="F209" s="285">
        <f t="shared" si="8"/>
        <v>45</v>
      </c>
      <c r="G209" s="285">
        <f t="shared" si="8"/>
        <v>36</v>
      </c>
      <c r="H209" s="285">
        <f t="shared" si="8"/>
        <v>304</v>
      </c>
      <c r="I209" s="285">
        <f t="shared" si="8"/>
        <v>275</v>
      </c>
      <c r="J209" s="285">
        <f t="shared" si="8"/>
        <v>334</v>
      </c>
      <c r="K209" s="285">
        <f t="shared" si="8"/>
        <v>693</v>
      </c>
      <c r="L209" s="285">
        <f t="shared" si="8"/>
        <v>263</v>
      </c>
      <c r="M209" s="285">
        <f t="shared" si="8"/>
        <v>6064</v>
      </c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2:29" x14ac:dyDescent="0.2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25"/>
      <c r="O210" s="220"/>
      <c r="P210" s="220"/>
      <c r="Q210" s="220"/>
      <c r="R210" s="25"/>
      <c r="S210" s="25"/>
      <c r="T210" s="25"/>
      <c r="U210" s="25"/>
      <c r="V210" s="25"/>
      <c r="W210" s="25"/>
      <c r="X210" s="25"/>
      <c r="Y210" s="25"/>
      <c r="Z210" s="25"/>
      <c r="AA210" s="219"/>
      <c r="AB210" s="25"/>
    </row>
    <row r="211" spans="2:29" ht="20.25" x14ac:dyDescent="0.3">
      <c r="B211" s="287" t="s">
        <v>209</v>
      </c>
      <c r="C211" s="259"/>
      <c r="D211" s="259"/>
      <c r="E211" s="259"/>
      <c r="F211" s="259"/>
      <c r="G211" s="259"/>
      <c r="H211" s="259"/>
      <c r="I211" s="259"/>
      <c r="J211" s="259"/>
      <c r="K211" s="259"/>
      <c r="L211" s="259"/>
      <c r="M211" s="259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2:29" s="263" customFormat="1" ht="15" x14ac:dyDescent="0.25">
      <c r="B212" s="264" t="s">
        <v>25</v>
      </c>
      <c r="C212" s="265" t="s">
        <v>2</v>
      </c>
      <c r="D212" s="265" t="s">
        <v>4</v>
      </c>
      <c r="E212" s="265" t="s">
        <v>26</v>
      </c>
      <c r="F212" s="265" t="s">
        <v>5</v>
      </c>
      <c r="G212" s="265" t="s">
        <v>6</v>
      </c>
      <c r="H212" s="265" t="s">
        <v>27</v>
      </c>
      <c r="I212" s="265" t="s">
        <v>28</v>
      </c>
      <c r="J212" s="266" t="s">
        <v>29</v>
      </c>
      <c r="K212" s="266" t="s">
        <v>30</v>
      </c>
      <c r="L212" s="265" t="s">
        <v>3</v>
      </c>
      <c r="M212" s="265" t="s">
        <v>31</v>
      </c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2:29" x14ac:dyDescent="0.25">
      <c r="B213" s="268" t="s">
        <v>9</v>
      </c>
      <c r="C213" s="269">
        <f t="shared" ref="C213:M213" si="9">C173-C193</f>
        <v>388</v>
      </c>
      <c r="D213" s="269">
        <f t="shared" si="9"/>
        <v>48</v>
      </c>
      <c r="E213" s="269">
        <f t="shared" si="9"/>
        <v>87</v>
      </c>
      <c r="F213" s="269">
        <f t="shared" si="9"/>
        <v>17</v>
      </c>
      <c r="G213" s="270">
        <f t="shared" si="9"/>
        <v>48</v>
      </c>
      <c r="H213" s="271">
        <f t="shared" si="9"/>
        <v>854</v>
      </c>
      <c r="I213" s="271">
        <f t="shared" si="9"/>
        <v>156</v>
      </c>
      <c r="J213" s="270">
        <f t="shared" si="9"/>
        <v>252</v>
      </c>
      <c r="K213" s="270">
        <f t="shared" si="9"/>
        <v>181</v>
      </c>
      <c r="L213" s="272">
        <f t="shared" si="9"/>
        <v>149</v>
      </c>
      <c r="M213" s="272">
        <f t="shared" si="9"/>
        <v>2180</v>
      </c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2:29" x14ac:dyDescent="0.25">
      <c r="B214" s="268" t="s">
        <v>10</v>
      </c>
      <c r="C214" s="274">
        <f t="shared" ref="C214:M214" si="10">C174-C194</f>
        <v>647</v>
      </c>
      <c r="D214" s="274">
        <f t="shared" si="10"/>
        <v>75</v>
      </c>
      <c r="E214" s="274">
        <f t="shared" si="10"/>
        <v>107</v>
      </c>
      <c r="F214" s="274">
        <f t="shared" si="10"/>
        <v>20</v>
      </c>
      <c r="G214" s="275">
        <f t="shared" si="10"/>
        <v>68</v>
      </c>
      <c r="H214" s="276">
        <f t="shared" si="10"/>
        <v>633</v>
      </c>
      <c r="I214" s="276">
        <f t="shared" si="10"/>
        <v>185</v>
      </c>
      <c r="J214" s="275">
        <f t="shared" si="10"/>
        <v>257</v>
      </c>
      <c r="K214" s="275">
        <f t="shared" si="10"/>
        <v>150</v>
      </c>
      <c r="L214" s="277">
        <f t="shared" si="10"/>
        <v>147</v>
      </c>
      <c r="M214" s="277">
        <f t="shared" si="10"/>
        <v>2289</v>
      </c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2:29" x14ac:dyDescent="0.25">
      <c r="B215" s="268" t="s">
        <v>47</v>
      </c>
      <c r="C215" s="274"/>
      <c r="D215" s="274"/>
      <c r="E215" s="274"/>
      <c r="F215" s="274"/>
      <c r="G215" s="275"/>
      <c r="H215" s="276"/>
      <c r="I215" s="276"/>
      <c r="J215" s="275"/>
      <c r="K215" s="275"/>
      <c r="L215" s="277"/>
      <c r="M215" s="277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2:29" x14ac:dyDescent="0.25">
      <c r="B216" s="280" t="s">
        <v>12</v>
      </c>
      <c r="C216" s="281">
        <f>SUM(C213:C215)</f>
        <v>1035</v>
      </c>
      <c r="D216" s="281">
        <f t="shared" ref="D216:M216" si="11">SUM(D213:D215)</f>
        <v>123</v>
      </c>
      <c r="E216" s="281">
        <f t="shared" si="11"/>
        <v>194</v>
      </c>
      <c r="F216" s="281">
        <f t="shared" si="11"/>
        <v>37</v>
      </c>
      <c r="G216" s="281">
        <f t="shared" si="11"/>
        <v>116</v>
      </c>
      <c r="H216" s="281">
        <f t="shared" si="11"/>
        <v>1487</v>
      </c>
      <c r="I216" s="281">
        <f t="shared" si="11"/>
        <v>341</v>
      </c>
      <c r="J216" s="281">
        <f t="shared" si="11"/>
        <v>509</v>
      </c>
      <c r="K216" s="281">
        <f t="shared" si="11"/>
        <v>331</v>
      </c>
      <c r="L216" s="281">
        <f t="shared" si="11"/>
        <v>296</v>
      </c>
      <c r="M216" s="281">
        <f t="shared" si="11"/>
        <v>4469</v>
      </c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2:29" x14ac:dyDescent="0.25">
      <c r="B217" s="268" t="s">
        <v>48</v>
      </c>
      <c r="C217" s="274"/>
      <c r="D217" s="274"/>
      <c r="E217" s="274"/>
      <c r="F217" s="274"/>
      <c r="G217" s="275"/>
      <c r="H217" s="276"/>
      <c r="I217" s="276"/>
      <c r="J217" s="275"/>
      <c r="K217" s="275"/>
      <c r="L217" s="277"/>
      <c r="M217" s="277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2:29" x14ac:dyDescent="0.25">
      <c r="B218" s="268" t="s">
        <v>14</v>
      </c>
      <c r="C218" s="274"/>
      <c r="D218" s="274"/>
      <c r="E218" s="274"/>
      <c r="F218" s="274"/>
      <c r="G218" s="275"/>
      <c r="H218" s="276"/>
      <c r="I218" s="276"/>
      <c r="J218" s="275"/>
      <c r="K218" s="275"/>
      <c r="L218" s="277"/>
      <c r="M218" s="277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2:29" x14ac:dyDescent="0.25">
      <c r="B219" s="268" t="s">
        <v>49</v>
      </c>
      <c r="C219" s="274"/>
      <c r="D219" s="274"/>
      <c r="E219" s="274"/>
      <c r="F219" s="274"/>
      <c r="G219" s="275"/>
      <c r="H219" s="276"/>
      <c r="I219" s="276"/>
      <c r="J219" s="275"/>
      <c r="K219" s="275"/>
      <c r="L219" s="277"/>
      <c r="M219" s="277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2:29" x14ac:dyDescent="0.25">
      <c r="B220" s="280" t="s">
        <v>16</v>
      </c>
      <c r="C220" s="281"/>
      <c r="D220" s="281"/>
      <c r="E220" s="281"/>
      <c r="F220" s="281"/>
      <c r="G220" s="281"/>
      <c r="H220" s="281"/>
      <c r="I220" s="281"/>
      <c r="J220" s="281"/>
      <c r="K220" s="281"/>
      <c r="L220" s="281"/>
      <c r="M220" s="281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2:29" x14ac:dyDescent="0.25">
      <c r="B221" s="268" t="s">
        <v>50</v>
      </c>
      <c r="C221" s="274"/>
      <c r="D221" s="274"/>
      <c r="E221" s="274"/>
      <c r="F221" s="274"/>
      <c r="G221" s="275"/>
      <c r="H221" s="276"/>
      <c r="I221" s="276"/>
      <c r="J221" s="275"/>
      <c r="K221" s="275"/>
      <c r="L221" s="277"/>
      <c r="M221" s="277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2:29" x14ac:dyDescent="0.25">
      <c r="B222" s="268" t="s">
        <v>51</v>
      </c>
      <c r="C222" s="274"/>
      <c r="D222" s="274"/>
      <c r="E222" s="274"/>
      <c r="F222" s="274"/>
      <c r="G222" s="275"/>
      <c r="H222" s="276"/>
      <c r="I222" s="276"/>
      <c r="J222" s="275"/>
      <c r="K222" s="275"/>
      <c r="L222" s="277"/>
      <c r="M222" s="277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2:29" x14ac:dyDescent="0.25">
      <c r="B223" s="268" t="s">
        <v>19</v>
      </c>
      <c r="C223" s="274"/>
      <c r="D223" s="274"/>
      <c r="E223" s="274"/>
      <c r="F223" s="274"/>
      <c r="G223" s="275"/>
      <c r="H223" s="276"/>
      <c r="I223" s="276"/>
      <c r="J223" s="275"/>
      <c r="K223" s="275"/>
      <c r="L223" s="277"/>
      <c r="M223" s="277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2:29" x14ac:dyDescent="0.25">
      <c r="B224" s="280" t="s">
        <v>20</v>
      </c>
      <c r="C224" s="281"/>
      <c r="D224" s="281"/>
      <c r="E224" s="281"/>
      <c r="F224" s="281"/>
      <c r="G224" s="281"/>
      <c r="H224" s="281"/>
      <c r="I224" s="281"/>
      <c r="J224" s="281"/>
      <c r="K224" s="281"/>
      <c r="L224" s="281"/>
      <c r="M224" s="281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2:29" x14ac:dyDescent="0.25">
      <c r="B225" s="268" t="s">
        <v>21</v>
      </c>
      <c r="C225" s="274"/>
      <c r="D225" s="274"/>
      <c r="E225" s="274"/>
      <c r="F225" s="274"/>
      <c r="G225" s="275"/>
      <c r="H225" s="276"/>
      <c r="I225" s="276"/>
      <c r="J225" s="275"/>
      <c r="K225" s="275"/>
      <c r="L225" s="277"/>
      <c r="M225" s="277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2:29" x14ac:dyDescent="0.25">
      <c r="B226" s="268" t="s">
        <v>22</v>
      </c>
      <c r="C226" s="274"/>
      <c r="D226" s="274"/>
      <c r="E226" s="274"/>
      <c r="F226" s="274"/>
      <c r="G226" s="275"/>
      <c r="H226" s="276"/>
      <c r="I226" s="276"/>
      <c r="J226" s="275"/>
      <c r="K226" s="275"/>
      <c r="L226" s="277"/>
      <c r="M226" s="277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2:29" x14ac:dyDescent="0.25">
      <c r="B227" s="268" t="s">
        <v>23</v>
      </c>
      <c r="C227" s="274"/>
      <c r="D227" s="274"/>
      <c r="E227" s="274"/>
      <c r="F227" s="274"/>
      <c r="G227" s="275"/>
      <c r="H227" s="276"/>
      <c r="I227" s="276"/>
      <c r="J227" s="275"/>
      <c r="K227" s="275"/>
      <c r="L227" s="277"/>
      <c r="M227" s="277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2:29" x14ac:dyDescent="0.25">
      <c r="B228" s="280" t="s">
        <v>24</v>
      </c>
      <c r="C228" s="281"/>
      <c r="D228" s="281"/>
      <c r="E228" s="281"/>
      <c r="F228" s="281"/>
      <c r="G228" s="281"/>
      <c r="H228" s="281"/>
      <c r="I228" s="281"/>
      <c r="J228" s="281"/>
      <c r="K228" s="281"/>
      <c r="L228" s="281"/>
      <c r="M228" s="281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2:29" ht="16.5" thickBot="1" x14ac:dyDescent="0.3">
      <c r="B229" s="284" t="s">
        <v>7</v>
      </c>
      <c r="C229" s="285">
        <f>C228+C224+C220+C216</f>
        <v>1035</v>
      </c>
      <c r="D229" s="285">
        <f t="shared" ref="D229:M229" si="12">D228+D224+D220+D216</f>
        <v>123</v>
      </c>
      <c r="E229" s="285">
        <f t="shared" si="12"/>
        <v>194</v>
      </c>
      <c r="F229" s="285">
        <f t="shared" si="12"/>
        <v>37</v>
      </c>
      <c r="G229" s="285">
        <f t="shared" si="12"/>
        <v>116</v>
      </c>
      <c r="H229" s="285">
        <f t="shared" si="12"/>
        <v>1487</v>
      </c>
      <c r="I229" s="285">
        <f t="shared" si="12"/>
        <v>341</v>
      </c>
      <c r="J229" s="285">
        <f t="shared" si="12"/>
        <v>509</v>
      </c>
      <c r="K229" s="285">
        <f t="shared" si="12"/>
        <v>331</v>
      </c>
      <c r="L229" s="285">
        <f t="shared" si="12"/>
        <v>296</v>
      </c>
      <c r="M229" s="285">
        <f t="shared" si="12"/>
        <v>4469</v>
      </c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2:29" x14ac:dyDescent="0.25"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19"/>
      <c r="AB230" s="25"/>
    </row>
    <row r="231" spans="2:29" ht="20.25" x14ac:dyDescent="0.3">
      <c r="B231" s="287" t="s">
        <v>210</v>
      </c>
      <c r="C231" s="259"/>
      <c r="D231" s="259"/>
      <c r="E231" s="259"/>
      <c r="F231" s="259"/>
      <c r="G231" s="259"/>
      <c r="H231" s="259"/>
      <c r="I231" s="259"/>
      <c r="J231" s="259"/>
      <c r="K231" s="259"/>
      <c r="L231" s="259"/>
      <c r="M231" s="259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2:29" s="263" customFormat="1" ht="15" x14ac:dyDescent="0.25">
      <c r="B232" s="264" t="s">
        <v>25</v>
      </c>
      <c r="C232" s="265" t="s">
        <v>2</v>
      </c>
      <c r="D232" s="265" t="s">
        <v>4</v>
      </c>
      <c r="E232" s="265" t="s">
        <v>26</v>
      </c>
      <c r="F232" s="265" t="s">
        <v>5</v>
      </c>
      <c r="G232" s="265" t="s">
        <v>6</v>
      </c>
      <c r="H232" s="265" t="s">
        <v>27</v>
      </c>
      <c r="I232" s="265" t="s">
        <v>28</v>
      </c>
      <c r="J232" s="266" t="s">
        <v>29</v>
      </c>
      <c r="K232" s="266" t="s">
        <v>30</v>
      </c>
      <c r="L232" s="265" t="s">
        <v>3</v>
      </c>
      <c r="M232" s="265" t="s">
        <v>31</v>
      </c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2:29" x14ac:dyDescent="0.25">
      <c r="B233" s="268" t="s">
        <v>9</v>
      </c>
      <c r="C233" s="288">
        <f t="shared" ref="C233:M233" si="13">(C173-C113)/C113</f>
        <v>-0.79872272485364559</v>
      </c>
      <c r="D233" s="288">
        <f t="shared" si="13"/>
        <v>-0.85760940561724364</v>
      </c>
      <c r="E233" s="288">
        <f t="shared" si="13"/>
        <v>-0.55268022181146026</v>
      </c>
      <c r="F233" s="288">
        <f t="shared" si="13"/>
        <v>-0.93225331369661268</v>
      </c>
      <c r="G233" s="288">
        <f t="shared" si="13"/>
        <v>-0.72972972972972971</v>
      </c>
      <c r="H233" s="288">
        <f t="shared" si="13"/>
        <v>-0.60224989955805541</v>
      </c>
      <c r="I233" s="288">
        <f t="shared" si="13"/>
        <v>-0.60699865410497977</v>
      </c>
      <c r="J233" s="288">
        <f t="shared" si="13"/>
        <v>-0.31513260530421217</v>
      </c>
      <c r="K233" s="288">
        <f t="shared" si="13"/>
        <v>-0.30315500685871055</v>
      </c>
      <c r="L233" s="288">
        <f t="shared" si="13"/>
        <v>-0.73983739837398377</v>
      </c>
      <c r="M233" s="288">
        <f t="shared" si="13"/>
        <v>-0.72485370431710283</v>
      </c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2:29" x14ac:dyDescent="0.25">
      <c r="B234" s="268" t="s">
        <v>10</v>
      </c>
      <c r="C234" s="289">
        <f t="shared" ref="C234:M234" si="14">(C174-C114)/C114</f>
        <v>-0.74745068140665205</v>
      </c>
      <c r="D234" s="289">
        <f t="shared" si="14"/>
        <v>-0.85810810810810811</v>
      </c>
      <c r="E234" s="289">
        <f t="shared" si="14"/>
        <v>-0.56942277691107646</v>
      </c>
      <c r="F234" s="289">
        <f t="shared" si="14"/>
        <v>-0.87323943661971826</v>
      </c>
      <c r="G234" s="289">
        <f t="shared" si="14"/>
        <v>-0.51764705882352946</v>
      </c>
      <c r="H234" s="289">
        <f t="shared" si="14"/>
        <v>-0.6545924967658473</v>
      </c>
      <c r="I234" s="289">
        <f t="shared" si="14"/>
        <v>-0.55310344827586211</v>
      </c>
      <c r="J234" s="289">
        <f t="shared" si="14"/>
        <v>-0.27857142857142858</v>
      </c>
      <c r="K234" s="289">
        <f t="shared" si="14"/>
        <v>-0.1744</v>
      </c>
      <c r="L234" s="289">
        <f t="shared" si="14"/>
        <v>-0.71503680336487907</v>
      </c>
      <c r="M234" s="289">
        <f t="shared" si="14"/>
        <v>-0.69342541436464089</v>
      </c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2:29" x14ac:dyDescent="0.25">
      <c r="B235" s="268" t="s">
        <v>47</v>
      </c>
      <c r="C235" s="289"/>
      <c r="D235" s="289"/>
      <c r="E235" s="289"/>
      <c r="F235" s="289"/>
      <c r="G235" s="289"/>
      <c r="H235" s="289"/>
      <c r="I235" s="289"/>
      <c r="J235" s="289"/>
      <c r="K235" s="289"/>
      <c r="L235" s="289"/>
      <c r="M235" s="289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2:29" x14ac:dyDescent="0.25">
      <c r="B236" s="280" t="s">
        <v>12</v>
      </c>
      <c r="C236" s="282"/>
      <c r="D236" s="282"/>
      <c r="E236" s="282"/>
      <c r="F236" s="282"/>
      <c r="G236" s="282"/>
      <c r="H236" s="282"/>
      <c r="I236" s="282"/>
      <c r="J236" s="282"/>
      <c r="K236" s="282"/>
      <c r="L236" s="282"/>
      <c r="M236" s="282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2:29" x14ac:dyDescent="0.25">
      <c r="B237" s="268" t="s">
        <v>48</v>
      </c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2:29" x14ac:dyDescent="0.25">
      <c r="B238" s="268" t="s">
        <v>14</v>
      </c>
      <c r="C238" s="289"/>
      <c r="D238" s="289"/>
      <c r="E238" s="289"/>
      <c r="F238" s="289"/>
      <c r="G238" s="289"/>
      <c r="H238" s="289"/>
      <c r="I238" s="289"/>
      <c r="J238" s="289"/>
      <c r="K238" s="289"/>
      <c r="L238" s="289"/>
      <c r="M238" s="289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2:29" x14ac:dyDescent="0.25">
      <c r="B239" s="268" t="s">
        <v>49</v>
      </c>
      <c r="C239" s="289"/>
      <c r="D239" s="289"/>
      <c r="E239" s="289"/>
      <c r="F239" s="289"/>
      <c r="G239" s="289"/>
      <c r="H239" s="289"/>
      <c r="I239" s="289"/>
      <c r="J239" s="289"/>
      <c r="K239" s="289"/>
      <c r="L239" s="289"/>
      <c r="M239" s="289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2:29" x14ac:dyDescent="0.25">
      <c r="B240" s="280" t="s">
        <v>16</v>
      </c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2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2:29" x14ac:dyDescent="0.25">
      <c r="B241" s="268" t="s">
        <v>50</v>
      </c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89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2:29" x14ac:dyDescent="0.25">
      <c r="B242" s="268" t="s">
        <v>51</v>
      </c>
      <c r="C242" s="289"/>
      <c r="D242" s="289"/>
      <c r="E242" s="289"/>
      <c r="F242" s="289"/>
      <c r="G242" s="289"/>
      <c r="H242" s="289"/>
      <c r="I242" s="289"/>
      <c r="J242" s="289"/>
      <c r="K242" s="289"/>
      <c r="L242" s="289"/>
      <c r="M242" s="289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2:29" x14ac:dyDescent="0.25">
      <c r="B243" s="268" t="s">
        <v>19</v>
      </c>
      <c r="C243" s="289"/>
      <c r="D243" s="289"/>
      <c r="E243" s="289"/>
      <c r="F243" s="289"/>
      <c r="G243" s="289"/>
      <c r="H243" s="289"/>
      <c r="I243" s="289"/>
      <c r="J243" s="289"/>
      <c r="K243" s="289"/>
      <c r="L243" s="289"/>
      <c r="M243" s="289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2:29" x14ac:dyDescent="0.25">
      <c r="B244" s="280" t="s">
        <v>20</v>
      </c>
      <c r="C244" s="282"/>
      <c r="D244" s="282"/>
      <c r="E244" s="282"/>
      <c r="F244" s="282"/>
      <c r="G244" s="282"/>
      <c r="H244" s="282"/>
      <c r="I244" s="282"/>
      <c r="J244" s="282"/>
      <c r="K244" s="282"/>
      <c r="L244" s="282"/>
      <c r="M244" s="282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2:29" x14ac:dyDescent="0.25">
      <c r="B245" s="268" t="s">
        <v>21</v>
      </c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2:29" x14ac:dyDescent="0.25">
      <c r="B246" s="268" t="s">
        <v>22</v>
      </c>
      <c r="C246" s="289"/>
      <c r="D246" s="289"/>
      <c r="E246" s="289"/>
      <c r="F246" s="289"/>
      <c r="G246" s="289"/>
      <c r="H246" s="289"/>
      <c r="I246" s="289"/>
      <c r="J246" s="289"/>
      <c r="K246" s="289"/>
      <c r="L246" s="289"/>
      <c r="M246" s="289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2:29" x14ac:dyDescent="0.25">
      <c r="B247" s="268" t="s">
        <v>23</v>
      </c>
      <c r="C247" s="289"/>
      <c r="D247" s="289"/>
      <c r="E247" s="289"/>
      <c r="F247" s="289"/>
      <c r="G247" s="289"/>
      <c r="H247" s="289"/>
      <c r="I247" s="289"/>
      <c r="J247" s="289"/>
      <c r="K247" s="289"/>
      <c r="L247" s="289"/>
      <c r="M247" s="289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2:29" x14ac:dyDescent="0.25">
      <c r="B248" s="280" t="s">
        <v>24</v>
      </c>
      <c r="C248" s="282"/>
      <c r="D248" s="282"/>
      <c r="E248" s="282"/>
      <c r="F248" s="282"/>
      <c r="G248" s="282"/>
      <c r="H248" s="282"/>
      <c r="I248" s="282"/>
      <c r="J248" s="282"/>
      <c r="K248" s="282"/>
      <c r="L248" s="282"/>
      <c r="M248" s="282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2:29" ht="16.5" thickBot="1" x14ac:dyDescent="0.3">
      <c r="B249" s="284" t="s">
        <v>7</v>
      </c>
      <c r="C249" s="324"/>
      <c r="D249" s="324"/>
      <c r="E249" s="324"/>
      <c r="F249" s="324"/>
      <c r="G249" s="324"/>
      <c r="H249" s="324"/>
      <c r="I249" s="324"/>
      <c r="J249" s="324"/>
      <c r="K249" s="324"/>
      <c r="L249" s="324"/>
      <c r="M249" s="324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2:29" x14ac:dyDescent="0.25">
      <c r="B250" s="10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19"/>
      <c r="AB250" s="25"/>
    </row>
    <row r="251" spans="2:29" ht="20.25" x14ac:dyDescent="0.3">
      <c r="B251" s="287" t="s">
        <v>211</v>
      </c>
      <c r="C251" s="259"/>
      <c r="D251" s="259"/>
      <c r="E251" s="259"/>
      <c r="F251" s="259"/>
      <c r="G251" s="259"/>
      <c r="H251" s="259"/>
      <c r="I251" s="259"/>
      <c r="J251" s="259"/>
      <c r="K251" s="259"/>
      <c r="L251" s="259"/>
      <c r="M251" s="259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2:29" s="263" customFormat="1" ht="15" x14ac:dyDescent="0.25">
      <c r="B252" s="264" t="s">
        <v>25</v>
      </c>
      <c r="C252" s="265" t="s">
        <v>2</v>
      </c>
      <c r="D252" s="265" t="s">
        <v>4</v>
      </c>
      <c r="E252" s="265" t="s">
        <v>26</v>
      </c>
      <c r="F252" s="265" t="s">
        <v>5</v>
      </c>
      <c r="G252" s="265" t="s">
        <v>6</v>
      </c>
      <c r="H252" s="265" t="s">
        <v>27</v>
      </c>
      <c r="I252" s="265" t="s">
        <v>28</v>
      </c>
      <c r="J252" s="266" t="s">
        <v>29</v>
      </c>
      <c r="K252" s="266" t="s">
        <v>30</v>
      </c>
      <c r="L252" s="265" t="s">
        <v>3</v>
      </c>
      <c r="M252" s="265" t="s">
        <v>7</v>
      </c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2:29" x14ac:dyDescent="0.25">
      <c r="B253" s="268" t="s">
        <v>9</v>
      </c>
      <c r="C253" s="288">
        <f>(C193-C133)/C133</f>
        <v>-0.68713572023313907</v>
      </c>
      <c r="D253" s="288">
        <f t="shared" ref="D253:M253" si="15">(D193-D133)/D133</f>
        <v>-0.63440860215053763</v>
      </c>
      <c r="E253" s="288">
        <f t="shared" si="15"/>
        <v>-0.48844884488448848</v>
      </c>
      <c r="F253" s="288">
        <f t="shared" si="15"/>
        <v>-0.84065934065934067</v>
      </c>
      <c r="G253" s="288">
        <f t="shared" si="15"/>
        <v>-0.57692307692307687</v>
      </c>
      <c r="H253" s="288">
        <f t="shared" si="15"/>
        <v>-0.67848699763593379</v>
      </c>
      <c r="I253" s="288">
        <f t="shared" si="15"/>
        <v>-2.1582733812949641E-2</v>
      </c>
      <c r="J253" s="288">
        <f t="shared" si="15"/>
        <v>-0.1762114537444934</v>
      </c>
      <c r="K253" s="288">
        <f t="shared" si="15"/>
        <v>-8.6592178770949726E-2</v>
      </c>
      <c r="L253" s="288">
        <f t="shared" si="15"/>
        <v>-0.5573248407643312</v>
      </c>
      <c r="M253" s="288">
        <f t="shared" si="15"/>
        <v>-0.6141461400853172</v>
      </c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2:29" x14ac:dyDescent="0.25">
      <c r="B254" s="268" t="s">
        <v>10</v>
      </c>
      <c r="C254" s="289">
        <f t="shared" ref="C254:M254" si="16">(C194-C134)/C134</f>
        <v>-0.64902751007534609</v>
      </c>
      <c r="D254" s="289">
        <f t="shared" si="16"/>
        <v>-0.75847457627118642</v>
      </c>
      <c r="E254" s="289">
        <f t="shared" si="16"/>
        <v>-0.46178343949044587</v>
      </c>
      <c r="F254" s="289">
        <f t="shared" si="16"/>
        <v>-0.86554621848739499</v>
      </c>
      <c r="G254" s="289">
        <f t="shared" si="16"/>
        <v>-0.5757575757575758</v>
      </c>
      <c r="H254" s="289">
        <f t="shared" si="16"/>
        <v>-0.53972602739726028</v>
      </c>
      <c r="I254" s="289">
        <f t="shared" si="16"/>
        <v>2.9629629629629631E-2</v>
      </c>
      <c r="J254" s="289">
        <f t="shared" si="16"/>
        <v>-0.27586206896551724</v>
      </c>
      <c r="K254" s="289">
        <f t="shared" si="16"/>
        <v>7.6470588235294124E-2</v>
      </c>
      <c r="L254" s="289">
        <f t="shared" si="16"/>
        <v>-0.49593495934959347</v>
      </c>
      <c r="M254" s="289">
        <f t="shared" si="16"/>
        <v>-0.58911015881018403</v>
      </c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2:29" x14ac:dyDescent="0.25">
      <c r="B255" s="268" t="s">
        <v>47</v>
      </c>
      <c r="C255" s="289"/>
      <c r="D255" s="289"/>
      <c r="E255" s="289"/>
      <c r="F255" s="289"/>
      <c r="G255" s="289"/>
      <c r="H255" s="289"/>
      <c r="I255" s="289"/>
      <c r="J255" s="289"/>
      <c r="K255" s="289"/>
      <c r="L255" s="289"/>
      <c r="M255" s="289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2:29" x14ac:dyDescent="0.25">
      <c r="B256" s="280" t="s">
        <v>12</v>
      </c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82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2:29" x14ac:dyDescent="0.25">
      <c r="B257" s="268" t="s">
        <v>48</v>
      </c>
      <c r="C257" s="289"/>
      <c r="D257" s="289"/>
      <c r="E257" s="289"/>
      <c r="F257" s="289"/>
      <c r="G257" s="289"/>
      <c r="H257" s="289"/>
      <c r="I257" s="289"/>
      <c r="J257" s="289"/>
      <c r="K257" s="289"/>
      <c r="L257" s="289"/>
      <c r="M257" s="289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2:29" x14ac:dyDescent="0.25">
      <c r="B258" s="268" t="s">
        <v>14</v>
      </c>
      <c r="C258" s="289"/>
      <c r="D258" s="289"/>
      <c r="E258" s="289"/>
      <c r="F258" s="289"/>
      <c r="G258" s="289"/>
      <c r="H258" s="289"/>
      <c r="I258" s="289"/>
      <c r="J258" s="289"/>
      <c r="K258" s="289"/>
      <c r="L258" s="289"/>
      <c r="M258" s="289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2:29" x14ac:dyDescent="0.25">
      <c r="B259" s="268" t="s">
        <v>49</v>
      </c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89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2:29" x14ac:dyDescent="0.25">
      <c r="B260" s="280" t="s">
        <v>16</v>
      </c>
      <c r="C260" s="282"/>
      <c r="D260" s="282"/>
      <c r="E260" s="282"/>
      <c r="F260" s="282"/>
      <c r="G260" s="282"/>
      <c r="H260" s="282"/>
      <c r="I260" s="282"/>
      <c r="J260" s="282"/>
      <c r="K260" s="282"/>
      <c r="L260" s="282"/>
      <c r="M260" s="282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2:29" x14ac:dyDescent="0.25">
      <c r="B261" s="268" t="s">
        <v>50</v>
      </c>
      <c r="C261" s="289"/>
      <c r="D261" s="289"/>
      <c r="E261" s="289"/>
      <c r="F261" s="289"/>
      <c r="G261" s="289"/>
      <c r="H261" s="289"/>
      <c r="I261" s="289"/>
      <c r="J261" s="289"/>
      <c r="K261" s="289"/>
      <c r="L261" s="289"/>
      <c r="M261" s="289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2:29" x14ac:dyDescent="0.25">
      <c r="B262" s="268" t="s">
        <v>51</v>
      </c>
      <c r="C262" s="289"/>
      <c r="D262" s="289"/>
      <c r="E262" s="289"/>
      <c r="F262" s="289"/>
      <c r="G262" s="289"/>
      <c r="H262" s="289"/>
      <c r="I262" s="289"/>
      <c r="J262" s="289"/>
      <c r="K262" s="289"/>
      <c r="L262" s="289"/>
      <c r="M262" s="289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2:29" x14ac:dyDescent="0.25">
      <c r="B263" s="268" t="s">
        <v>19</v>
      </c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2:29" x14ac:dyDescent="0.25">
      <c r="B264" s="280" t="s">
        <v>20</v>
      </c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2:29" x14ac:dyDescent="0.25">
      <c r="B265" s="268" t="s">
        <v>21</v>
      </c>
      <c r="C265" s="289"/>
      <c r="D265" s="289"/>
      <c r="E265" s="289"/>
      <c r="F265" s="289"/>
      <c r="G265" s="289"/>
      <c r="H265" s="289"/>
      <c r="I265" s="289"/>
      <c r="J265" s="289"/>
      <c r="K265" s="289"/>
      <c r="L265" s="289"/>
      <c r="M265" s="289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2:29" x14ac:dyDescent="0.25">
      <c r="B266" s="268" t="s">
        <v>22</v>
      </c>
      <c r="C266" s="289"/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2:29" x14ac:dyDescent="0.25">
      <c r="B267" s="268" t="s">
        <v>23</v>
      </c>
      <c r="C267" s="289"/>
      <c r="D267" s="289"/>
      <c r="E267" s="289"/>
      <c r="F267" s="289"/>
      <c r="G267" s="289"/>
      <c r="H267" s="289"/>
      <c r="I267" s="289"/>
      <c r="J267" s="289"/>
      <c r="K267" s="289"/>
      <c r="L267" s="289"/>
      <c r="M267" s="289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2:29" x14ac:dyDescent="0.25">
      <c r="B268" s="280" t="s">
        <v>24</v>
      </c>
      <c r="C268" s="282"/>
      <c r="D268" s="282"/>
      <c r="E268" s="282"/>
      <c r="F268" s="282"/>
      <c r="G268" s="282"/>
      <c r="H268" s="282"/>
      <c r="I268" s="282"/>
      <c r="J268" s="282"/>
      <c r="K268" s="282"/>
      <c r="L268" s="282"/>
      <c r="M268" s="282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2:29" ht="16.5" thickBot="1" x14ac:dyDescent="0.3">
      <c r="B269" s="284" t="s">
        <v>7</v>
      </c>
      <c r="C269" s="324"/>
      <c r="D269" s="324"/>
      <c r="E269" s="324"/>
      <c r="F269" s="324"/>
      <c r="G269" s="324"/>
      <c r="H269" s="324"/>
      <c r="I269" s="324"/>
      <c r="J269" s="324"/>
      <c r="K269" s="324"/>
      <c r="L269" s="324"/>
      <c r="M269" s="324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2:29" x14ac:dyDescent="0.25">
      <c r="H270" s="19"/>
      <c r="I270" s="19"/>
      <c r="J270" s="19"/>
      <c r="K270" s="19"/>
      <c r="L270" s="18"/>
      <c r="M270" s="18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</row>
    <row r="271" spans="2:29" ht="20.25" x14ac:dyDescent="0.3">
      <c r="B271" s="287" t="s">
        <v>212</v>
      </c>
      <c r="C271" s="259"/>
      <c r="D271" s="259"/>
      <c r="E271" s="259"/>
      <c r="F271" s="259"/>
      <c r="G271" s="259"/>
      <c r="H271" s="259"/>
      <c r="I271" s="259"/>
      <c r="J271" s="259"/>
      <c r="K271" s="259"/>
      <c r="L271" s="259"/>
      <c r="M271" s="259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2:29" s="263" customFormat="1" ht="15" x14ac:dyDescent="0.25">
      <c r="B272" s="264" t="s">
        <v>25</v>
      </c>
      <c r="C272" s="265" t="s">
        <v>2</v>
      </c>
      <c r="D272" s="265" t="s">
        <v>4</v>
      </c>
      <c r="E272" s="265" t="s">
        <v>26</v>
      </c>
      <c r="F272" s="265" t="s">
        <v>5</v>
      </c>
      <c r="G272" s="265" t="s">
        <v>6</v>
      </c>
      <c r="H272" s="265" t="s">
        <v>27</v>
      </c>
      <c r="I272" s="265" t="s">
        <v>28</v>
      </c>
      <c r="J272" s="266" t="s">
        <v>29</v>
      </c>
      <c r="K272" s="266" t="s">
        <v>30</v>
      </c>
      <c r="L272" s="265" t="s">
        <v>3</v>
      </c>
      <c r="M272" s="265" t="s">
        <v>31</v>
      </c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2:29" x14ac:dyDescent="0.25">
      <c r="B273" s="268" t="s">
        <v>9</v>
      </c>
      <c r="C273" s="288">
        <f t="shared" ref="C273:M273" si="17">(C213-C153)/C153</f>
        <v>-0.91548682204312781</v>
      </c>
      <c r="D273" s="288">
        <f t="shared" si="17"/>
        <v>-0.95497185741088175</v>
      </c>
      <c r="E273" s="288">
        <f t="shared" si="17"/>
        <v>-0.63445378151260501</v>
      </c>
      <c r="F273" s="288">
        <f t="shared" si="17"/>
        <v>-0.96579476861167002</v>
      </c>
      <c r="G273" s="288">
        <f t="shared" si="17"/>
        <v>-0.76811594202898548</v>
      </c>
      <c r="H273" s="288">
        <f t="shared" si="17"/>
        <v>-0.58664085188770576</v>
      </c>
      <c r="I273" s="288">
        <f t="shared" si="17"/>
        <v>-0.74172185430463577</v>
      </c>
      <c r="J273" s="288">
        <f t="shared" si="17"/>
        <v>-0.39130434782608697</v>
      </c>
      <c r="K273" s="288">
        <f t="shared" si="17"/>
        <v>-0.5121293800539084</v>
      </c>
      <c r="L273" s="288">
        <f t="shared" si="17"/>
        <v>-0.81210592686002525</v>
      </c>
      <c r="M273" s="288">
        <f t="shared" si="17"/>
        <v>-0.79902277127316312</v>
      </c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2:29" x14ac:dyDescent="0.25">
      <c r="B274" s="268" t="s">
        <v>10</v>
      </c>
      <c r="C274" s="289">
        <f t="shared" ref="C274:M274" si="18">(C214-C154)/C154</f>
        <v>-0.86481404095277892</v>
      </c>
      <c r="D274" s="289">
        <f t="shared" si="18"/>
        <v>-0.91279069767441856</v>
      </c>
      <c r="E274" s="289">
        <f t="shared" si="18"/>
        <v>-0.672782874617737</v>
      </c>
      <c r="F274" s="289">
        <f t="shared" si="18"/>
        <v>-0.87878787878787878</v>
      </c>
      <c r="G274" s="289">
        <f t="shared" si="18"/>
        <v>-0.5036496350364964</v>
      </c>
      <c r="H274" s="289">
        <f t="shared" si="18"/>
        <v>-0.67604912998976463</v>
      </c>
      <c r="I274" s="289">
        <f t="shared" si="18"/>
        <v>-0.68644067796610164</v>
      </c>
      <c r="J274" s="289">
        <f t="shared" si="18"/>
        <v>-0.28011204481792717</v>
      </c>
      <c r="K274" s="289">
        <f t="shared" si="18"/>
        <v>-0.47368421052631576</v>
      </c>
      <c r="L274" s="289">
        <f t="shared" si="18"/>
        <v>-0.79148936170212769</v>
      </c>
      <c r="M274" s="289">
        <f t="shared" si="18"/>
        <v>-0.77483769427503446</v>
      </c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2:29" x14ac:dyDescent="0.25">
      <c r="B275" s="268" t="s">
        <v>47</v>
      </c>
      <c r="C275" s="289"/>
      <c r="D275" s="289"/>
      <c r="E275" s="289"/>
      <c r="F275" s="289"/>
      <c r="G275" s="289"/>
      <c r="H275" s="289"/>
      <c r="I275" s="289"/>
      <c r="J275" s="289"/>
      <c r="K275" s="289"/>
      <c r="L275" s="289"/>
      <c r="M275" s="289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2:29" x14ac:dyDescent="0.25">
      <c r="B276" s="280" t="s">
        <v>12</v>
      </c>
      <c r="C276" s="282"/>
      <c r="D276" s="282"/>
      <c r="E276" s="282"/>
      <c r="F276" s="282"/>
      <c r="G276" s="282"/>
      <c r="H276" s="282"/>
      <c r="I276" s="282"/>
      <c r="J276" s="282"/>
      <c r="K276" s="282"/>
      <c r="L276" s="282"/>
      <c r="M276" s="282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2:29" x14ac:dyDescent="0.25">
      <c r="B277" s="268" t="s">
        <v>48</v>
      </c>
      <c r="C277" s="289"/>
      <c r="D277" s="289"/>
      <c r="E277" s="289"/>
      <c r="F277" s="289"/>
      <c r="G277" s="289"/>
      <c r="H277" s="289"/>
      <c r="I277" s="289"/>
      <c r="J277" s="289"/>
      <c r="K277" s="289"/>
      <c r="L277" s="289"/>
      <c r="M277" s="289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2:29" x14ac:dyDescent="0.25">
      <c r="B278" s="268" t="s">
        <v>14</v>
      </c>
      <c r="C278" s="289"/>
      <c r="D278" s="289"/>
      <c r="E278" s="289"/>
      <c r="F278" s="289"/>
      <c r="G278" s="289"/>
      <c r="H278" s="289"/>
      <c r="I278" s="289"/>
      <c r="J278" s="289"/>
      <c r="K278" s="289"/>
      <c r="L278" s="289"/>
      <c r="M278" s="289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2:29" x14ac:dyDescent="0.25">
      <c r="B279" s="268" t="s">
        <v>49</v>
      </c>
      <c r="C279" s="289"/>
      <c r="D279" s="289"/>
      <c r="E279" s="289"/>
      <c r="F279" s="289"/>
      <c r="G279" s="289"/>
      <c r="H279" s="289"/>
      <c r="I279" s="289"/>
      <c r="J279" s="289"/>
      <c r="K279" s="289"/>
      <c r="L279" s="289"/>
      <c r="M279" s="289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2:29" x14ac:dyDescent="0.25">
      <c r="B280" s="280" t="s">
        <v>16</v>
      </c>
      <c r="C280" s="282"/>
      <c r="D280" s="282"/>
      <c r="E280" s="282"/>
      <c r="F280" s="282"/>
      <c r="G280" s="282"/>
      <c r="H280" s="282"/>
      <c r="I280" s="282"/>
      <c r="J280" s="282"/>
      <c r="K280" s="282"/>
      <c r="L280" s="282"/>
      <c r="M280" s="282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2:29" x14ac:dyDescent="0.25">
      <c r="B281" s="268" t="s">
        <v>50</v>
      </c>
      <c r="C281" s="289"/>
      <c r="D281" s="289"/>
      <c r="E281" s="289"/>
      <c r="F281" s="289"/>
      <c r="G281" s="289"/>
      <c r="H281" s="289"/>
      <c r="I281" s="289"/>
      <c r="J281" s="289"/>
      <c r="K281" s="289"/>
      <c r="L281" s="289"/>
      <c r="M281" s="289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2:29" x14ac:dyDescent="0.25">
      <c r="B282" s="268" t="s">
        <v>51</v>
      </c>
      <c r="C282" s="289"/>
      <c r="D282" s="289"/>
      <c r="E282" s="289"/>
      <c r="F282" s="289"/>
      <c r="G282" s="289"/>
      <c r="H282" s="289"/>
      <c r="I282" s="289"/>
      <c r="J282" s="289"/>
      <c r="K282" s="289"/>
      <c r="L282" s="289"/>
      <c r="M282" s="289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2:29" x14ac:dyDescent="0.25">
      <c r="B283" s="268" t="s">
        <v>19</v>
      </c>
      <c r="C283" s="289"/>
      <c r="D283" s="289"/>
      <c r="E283" s="289"/>
      <c r="F283" s="289"/>
      <c r="G283" s="289"/>
      <c r="H283" s="289"/>
      <c r="I283" s="289"/>
      <c r="J283" s="289"/>
      <c r="K283" s="289"/>
      <c r="L283" s="289"/>
      <c r="M283" s="289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2:29" x14ac:dyDescent="0.25">
      <c r="B284" s="280" t="s">
        <v>20</v>
      </c>
      <c r="C284" s="282"/>
      <c r="D284" s="282"/>
      <c r="E284" s="282"/>
      <c r="F284" s="282"/>
      <c r="G284" s="282"/>
      <c r="H284" s="282"/>
      <c r="I284" s="282"/>
      <c r="J284" s="282"/>
      <c r="K284" s="282"/>
      <c r="L284" s="282"/>
      <c r="M284" s="282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2:29" x14ac:dyDescent="0.25">
      <c r="B285" s="268" t="s">
        <v>21</v>
      </c>
      <c r="C285" s="289"/>
      <c r="D285" s="289"/>
      <c r="E285" s="289"/>
      <c r="F285" s="289"/>
      <c r="G285" s="289"/>
      <c r="H285" s="289"/>
      <c r="I285" s="289"/>
      <c r="J285" s="289"/>
      <c r="K285" s="289"/>
      <c r="L285" s="289"/>
      <c r="M285" s="289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2:29" x14ac:dyDescent="0.25">
      <c r="B286" s="268" t="s">
        <v>22</v>
      </c>
      <c r="C286" s="289"/>
      <c r="D286" s="289"/>
      <c r="E286" s="289"/>
      <c r="F286" s="289"/>
      <c r="G286" s="289"/>
      <c r="H286" s="289"/>
      <c r="I286" s="289"/>
      <c r="J286" s="289"/>
      <c r="K286" s="289"/>
      <c r="L286" s="289"/>
      <c r="M286" s="289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2:29" x14ac:dyDescent="0.25">
      <c r="B287" s="268" t="s">
        <v>23</v>
      </c>
      <c r="C287" s="289"/>
      <c r="D287" s="289"/>
      <c r="E287" s="289"/>
      <c r="F287" s="289"/>
      <c r="G287" s="289"/>
      <c r="H287" s="289"/>
      <c r="I287" s="289"/>
      <c r="J287" s="289"/>
      <c r="K287" s="289"/>
      <c r="L287" s="289"/>
      <c r="M287" s="289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2:29" x14ac:dyDescent="0.25">
      <c r="B288" s="280" t="s">
        <v>24</v>
      </c>
      <c r="C288" s="282"/>
      <c r="D288" s="282"/>
      <c r="E288" s="282"/>
      <c r="F288" s="282"/>
      <c r="G288" s="282"/>
      <c r="H288" s="282"/>
      <c r="I288" s="282"/>
      <c r="J288" s="282"/>
      <c r="K288" s="282"/>
      <c r="L288" s="282"/>
      <c r="M288" s="282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2:30" ht="16.5" thickBot="1" x14ac:dyDescent="0.3">
      <c r="B289" s="284" t="s">
        <v>7</v>
      </c>
      <c r="C289" s="324"/>
      <c r="D289" s="324"/>
      <c r="E289" s="324"/>
      <c r="F289" s="324"/>
      <c r="G289" s="324"/>
      <c r="H289" s="324"/>
      <c r="I289" s="324"/>
      <c r="J289" s="324"/>
      <c r="K289" s="324"/>
      <c r="L289" s="324"/>
      <c r="M289" s="324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2:30" x14ac:dyDescent="0.25">
      <c r="C290" s="11"/>
      <c r="D290" s="11"/>
      <c r="E290" s="11"/>
      <c r="F290" s="11"/>
      <c r="G290" s="11"/>
      <c r="H290" s="17"/>
      <c r="I290" s="17"/>
      <c r="J290" s="17"/>
      <c r="K290" s="17"/>
      <c r="L290" s="17"/>
      <c r="M290" s="18"/>
    </row>
    <row r="291" spans="2:30" ht="20.25" x14ac:dyDescent="0.3">
      <c r="B291" s="287" t="s">
        <v>213</v>
      </c>
      <c r="C291" s="259"/>
      <c r="D291" s="259"/>
      <c r="E291" s="259"/>
      <c r="F291" s="259"/>
      <c r="G291" s="259"/>
      <c r="H291" s="259"/>
      <c r="I291" s="259"/>
      <c r="J291" s="259"/>
      <c r="K291" s="259"/>
      <c r="L291" s="259"/>
      <c r="M291" s="259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2:30" s="263" customFormat="1" ht="18.75" x14ac:dyDescent="0.25">
      <c r="B292" s="264" t="s">
        <v>25</v>
      </c>
      <c r="C292" s="265" t="s">
        <v>32</v>
      </c>
      <c r="D292" s="265" t="s">
        <v>33</v>
      </c>
      <c r="E292" s="265" t="s">
        <v>34</v>
      </c>
      <c r="F292" s="265" t="s">
        <v>35</v>
      </c>
      <c r="G292" s="265" t="s">
        <v>53</v>
      </c>
      <c r="H292" s="265" t="s">
        <v>31</v>
      </c>
      <c r="I292" s="265" t="s">
        <v>214</v>
      </c>
      <c r="J292" s="266" t="s">
        <v>191</v>
      </c>
      <c r="K292" s="266" t="s">
        <v>185</v>
      </c>
      <c r="L292" s="266" t="s">
        <v>60</v>
      </c>
      <c r="M292" s="265" t="s">
        <v>59</v>
      </c>
      <c r="N292" s="265" t="s">
        <v>58</v>
      </c>
      <c r="O292" s="265" t="s">
        <v>57</v>
      </c>
      <c r="P292" s="266" t="s">
        <v>55</v>
      </c>
      <c r="Q292" s="266" t="s">
        <v>56</v>
      </c>
      <c r="R292" s="265" t="s">
        <v>54</v>
      </c>
      <c r="S292" s="265" t="s">
        <v>52</v>
      </c>
      <c r="T292" s="265" t="s">
        <v>46</v>
      </c>
      <c r="U292" s="266" t="s">
        <v>45</v>
      </c>
      <c r="V292" s="266" t="s">
        <v>43</v>
      </c>
      <c r="W292" s="265" t="s">
        <v>37</v>
      </c>
      <c r="X292" s="265" t="s">
        <v>36</v>
      </c>
      <c r="Y292" s="6"/>
      <c r="Z292" s="6"/>
      <c r="AA292" s="6"/>
      <c r="AB292" s="6"/>
      <c r="AC292" s="6"/>
      <c r="AD292" s="6"/>
    </row>
    <row r="293" spans="2:30" x14ac:dyDescent="0.25">
      <c r="B293" s="268" t="s">
        <v>9</v>
      </c>
      <c r="C293" s="269">
        <f>'Data Entry'!B114</f>
        <v>694</v>
      </c>
      <c r="D293" s="269">
        <f>'Data Entry'!C114</f>
        <v>622</v>
      </c>
      <c r="E293" s="269">
        <f>'Data Entry'!D114</f>
        <v>493</v>
      </c>
      <c r="F293" s="269">
        <f>'Data Entry'!E114</f>
        <v>109</v>
      </c>
      <c r="G293" s="270">
        <f>'Data Entry'!F114</f>
        <v>886</v>
      </c>
      <c r="H293" s="271">
        <f>'Data Entry'!G114</f>
        <v>2804</v>
      </c>
      <c r="I293" s="290">
        <f>(C293*2+D293*5.5+E293*11.5+F293*19+G293*23)/H293</f>
        <v>11.743045649072753</v>
      </c>
      <c r="J293" s="291">
        <f>[11]Summary!I293</f>
        <v>7.902229255538737</v>
      </c>
      <c r="K293" s="291">
        <v>7.7334478021978024</v>
      </c>
      <c r="L293" s="291">
        <v>8.0833086712044988</v>
      </c>
      <c r="M293" s="292">
        <v>8.0091812161348592</v>
      </c>
      <c r="N293" s="292">
        <v>8.4775625885687287</v>
      </c>
      <c r="O293" s="290">
        <v>8.383790602333649</v>
      </c>
      <c r="P293" s="291">
        <v>8.3673558787453999</v>
      </c>
      <c r="Q293" s="291">
        <v>8.5044171307854803</v>
      </c>
      <c r="R293" s="292">
        <v>8.5612141992739001</v>
      </c>
      <c r="S293" s="292">
        <v>8.6655206286836943</v>
      </c>
      <c r="T293" s="290">
        <v>7.3554850897314799</v>
      </c>
      <c r="U293" s="291">
        <v>8.5672790466732867</v>
      </c>
      <c r="V293" s="291">
        <v>8.7992633517495396</v>
      </c>
      <c r="W293" s="292">
        <v>8.1843886462882089</v>
      </c>
      <c r="X293" s="292">
        <v>9.6352663016426074</v>
      </c>
      <c r="Y293" s="6"/>
      <c r="Z293" s="6"/>
      <c r="AA293" s="6"/>
      <c r="AB293" s="6"/>
      <c r="AC293" s="6"/>
      <c r="AD293" s="6"/>
    </row>
    <row r="294" spans="2:30" x14ac:dyDescent="0.25">
      <c r="B294" s="268" t="s">
        <v>10</v>
      </c>
      <c r="C294" s="274">
        <f>'Data Entry'!B119</f>
        <v>739</v>
      </c>
      <c r="D294" s="274">
        <f>'Data Entry'!C119</f>
        <v>934</v>
      </c>
      <c r="E294" s="274">
        <f>'Data Entry'!D119</f>
        <v>842</v>
      </c>
      <c r="F294" s="274">
        <f>'Data Entry'!E119</f>
        <v>139</v>
      </c>
      <c r="G294" s="275">
        <f>'Data Entry'!F119</f>
        <v>606</v>
      </c>
      <c r="H294" s="276">
        <f>'Data Entry'!G119</f>
        <v>3260</v>
      </c>
      <c r="I294" s="293">
        <f t="shared" ref="I294:I309" si="19">(C294*2+D294*5.5+E294*11.5+F294*19+G294*23)/H294</f>
        <v>10.084969325153374</v>
      </c>
      <c r="J294" s="294">
        <f>[11]Summary!I294</f>
        <v>7.6606377615326444</v>
      </c>
      <c r="K294" s="294">
        <v>7.4520728643216083</v>
      </c>
      <c r="L294" s="294">
        <v>7.5422582826233944</v>
      </c>
      <c r="M294" s="295">
        <v>7.5635496726444638</v>
      </c>
      <c r="N294" s="295">
        <v>7.576663239829637</v>
      </c>
      <c r="O294" s="293">
        <v>7.7522922212363206</v>
      </c>
      <c r="P294" s="294">
        <v>7.9499458455825467</v>
      </c>
      <c r="Q294" s="294">
        <v>8.2163102511880517</v>
      </c>
      <c r="R294" s="295">
        <v>8.2787392967753686</v>
      </c>
      <c r="S294" s="295">
        <v>8.098509126375923</v>
      </c>
      <c r="T294" s="293">
        <v>7.5110850286906627</v>
      </c>
      <c r="U294" s="294">
        <v>8.2995060619667722</v>
      </c>
      <c r="V294" s="294">
        <v>8.6119523195876297</v>
      </c>
      <c r="W294" s="295">
        <v>7.973934927197555</v>
      </c>
      <c r="X294" s="295">
        <v>9.7558320373250389</v>
      </c>
      <c r="Y294" s="6"/>
      <c r="Z294" s="6"/>
      <c r="AA294" s="6"/>
      <c r="AB294" s="6"/>
      <c r="AC294" s="6"/>
      <c r="AD294" s="6"/>
    </row>
    <row r="295" spans="2:30" x14ac:dyDescent="0.25">
      <c r="B295" s="268" t="s">
        <v>47</v>
      </c>
      <c r="C295" s="274"/>
      <c r="D295" s="274"/>
      <c r="E295" s="274"/>
      <c r="F295" s="274"/>
      <c r="G295" s="275"/>
      <c r="H295" s="276"/>
      <c r="I295" s="293"/>
      <c r="J295" s="294">
        <f>[11]Summary!I295</f>
        <v>7.3057659022068373</v>
      </c>
      <c r="K295" s="294">
        <v>6.5996099763933076</v>
      </c>
      <c r="L295" s="294">
        <v>7.2969019923989409</v>
      </c>
      <c r="M295" s="295">
        <v>7.383197763091002</v>
      </c>
      <c r="N295" s="295">
        <v>7.2763725725245747</v>
      </c>
      <c r="O295" s="293">
        <v>7.4088617670469619</v>
      </c>
      <c r="P295" s="294">
        <v>7.4198722305287479</v>
      </c>
      <c r="Q295" s="294">
        <v>7.4914621896972307</v>
      </c>
      <c r="R295" s="295">
        <v>7.8276163808190411</v>
      </c>
      <c r="S295" s="295">
        <v>7.432571631541558</v>
      </c>
      <c r="T295" s="293">
        <v>6.8695300656897427</v>
      </c>
      <c r="U295" s="294">
        <v>7.6423944026949986</v>
      </c>
      <c r="V295" s="294">
        <v>8.0749606974417603</v>
      </c>
      <c r="W295" s="295">
        <v>7.5809955525145396</v>
      </c>
      <c r="X295" s="295">
        <v>8.9002028397565915</v>
      </c>
      <c r="Y295" s="6"/>
      <c r="Z295" s="6"/>
      <c r="AA295" s="6"/>
      <c r="AB295" s="6"/>
      <c r="AC295" s="6"/>
      <c r="AD295" s="6"/>
    </row>
    <row r="296" spans="2:30" x14ac:dyDescent="0.25">
      <c r="B296" s="280" t="s">
        <v>12</v>
      </c>
      <c r="C296" s="281">
        <f t="shared" ref="C296:H296" si="20">SUM(C293:C295)</f>
        <v>1433</v>
      </c>
      <c r="D296" s="281">
        <f t="shared" si="20"/>
        <v>1556</v>
      </c>
      <c r="E296" s="281">
        <f t="shared" si="20"/>
        <v>1335</v>
      </c>
      <c r="F296" s="281">
        <f t="shared" si="20"/>
        <v>248</v>
      </c>
      <c r="G296" s="281">
        <f t="shared" si="20"/>
        <v>1492</v>
      </c>
      <c r="H296" s="281">
        <f t="shared" si="20"/>
        <v>6064</v>
      </c>
      <c r="I296" s="296">
        <f t="shared" si="19"/>
        <v>10.851665567282321</v>
      </c>
      <c r="J296" s="296">
        <f>[11]Summary!I296</f>
        <v>7.5982614031499285</v>
      </c>
      <c r="K296" s="296">
        <v>7.2016170996277467</v>
      </c>
      <c r="L296" s="296">
        <v>7.6090821509896651</v>
      </c>
      <c r="M296" s="296">
        <v>7.6351332528554181</v>
      </c>
      <c r="N296" s="296">
        <v>7.7262580225095343</v>
      </c>
      <c r="O296" s="296">
        <v>7.8208991376804571</v>
      </c>
      <c r="P296" s="296">
        <v>7.8722281968556356</v>
      </c>
      <c r="Q296" s="296">
        <v>8.0197586893956174</v>
      </c>
      <c r="R296" s="296">
        <v>8.2058969123197816</v>
      </c>
      <c r="S296" s="296">
        <v>7.9990566471860474</v>
      </c>
      <c r="T296" s="296">
        <v>7.2107191479138306</v>
      </c>
      <c r="U296" s="296">
        <v>8.1305464507607255</v>
      </c>
      <c r="V296" s="296">
        <v>8.4649047491279852</v>
      </c>
      <c r="W296" s="296">
        <v>7.8905497529551569</v>
      </c>
      <c r="X296" s="296">
        <v>9.4061640270652092</v>
      </c>
      <c r="Y296" s="6"/>
      <c r="Z296" s="297"/>
      <c r="AA296" s="6"/>
      <c r="AB296" s="6"/>
      <c r="AC296" s="6"/>
      <c r="AD296" s="6"/>
    </row>
    <row r="297" spans="2:30" x14ac:dyDescent="0.25">
      <c r="B297" s="268" t="s">
        <v>48</v>
      </c>
      <c r="C297" s="274"/>
      <c r="D297" s="274"/>
      <c r="E297" s="274"/>
      <c r="F297" s="274"/>
      <c r="G297" s="275"/>
      <c r="H297" s="276"/>
      <c r="I297" s="293"/>
      <c r="J297" s="294">
        <f>[11]Summary!I297</f>
        <v>6.8215542218543046</v>
      </c>
      <c r="K297" s="294">
        <v>6.3435286103542232</v>
      </c>
      <c r="L297" s="294">
        <v>6.4728055301943392</v>
      </c>
      <c r="M297" s="295">
        <v>6.8223855359001044</v>
      </c>
      <c r="N297" s="295">
        <v>6.5118227372377078</v>
      </c>
      <c r="O297" s="293">
        <v>6.9066341002206117</v>
      </c>
      <c r="P297" s="294">
        <v>7.1921161825726143</v>
      </c>
      <c r="Q297" s="294">
        <v>6.9975825275091701</v>
      </c>
      <c r="R297" s="295">
        <v>7.5451288176079165</v>
      </c>
      <c r="S297" s="295">
        <v>7.2834523439925487</v>
      </c>
      <c r="T297" s="293">
        <v>6.9590873836608065</v>
      </c>
      <c r="U297" s="294">
        <v>7.6349499523355577</v>
      </c>
      <c r="V297" s="294">
        <v>7.3623508255680887</v>
      </c>
      <c r="W297" s="295">
        <v>6.8058284762697756</v>
      </c>
      <c r="X297" s="295">
        <v>8.6774597869229169</v>
      </c>
      <c r="Y297" s="6"/>
      <c r="Z297" s="297"/>
      <c r="AA297" s="6"/>
      <c r="AB297" s="6"/>
      <c r="AC297" s="6"/>
      <c r="AD297" s="6"/>
    </row>
    <row r="298" spans="2:30" x14ac:dyDescent="0.25">
      <c r="B298" s="268" t="s">
        <v>14</v>
      </c>
      <c r="C298" s="274"/>
      <c r="D298" s="274"/>
      <c r="E298" s="274"/>
      <c r="F298" s="274"/>
      <c r="G298" s="275"/>
      <c r="H298" s="276"/>
      <c r="I298" s="293"/>
      <c r="J298" s="294">
        <f>[11]Summary!I298</f>
        <v>6.9716901408450704</v>
      </c>
      <c r="K298" s="294">
        <v>6.3203500077435342</v>
      </c>
      <c r="L298" s="294">
        <v>6.5790926341210971</v>
      </c>
      <c r="M298" s="295">
        <v>6.4972005429250084</v>
      </c>
      <c r="N298" s="295">
        <v>6.610048649555444</v>
      </c>
      <c r="O298" s="293">
        <v>6.8570240295748617</v>
      </c>
      <c r="P298" s="294">
        <v>6.6438570487483535</v>
      </c>
      <c r="Q298" s="294">
        <v>6.4571509648127128</v>
      </c>
      <c r="R298" s="295">
        <v>7.0877354157096919</v>
      </c>
      <c r="S298" s="295">
        <v>6.5312401138880105</v>
      </c>
      <c r="T298" s="293">
        <v>6.964601129289127</v>
      </c>
      <c r="U298" s="294">
        <v>7.1620785648004945</v>
      </c>
      <c r="V298" s="294">
        <v>7.1504115962777384</v>
      </c>
      <c r="W298" s="295">
        <v>6.7797270955165692</v>
      </c>
      <c r="X298" s="295">
        <v>7.8727969348659004</v>
      </c>
      <c r="Y298" s="6"/>
      <c r="Z298" s="297"/>
      <c r="AA298" s="6"/>
      <c r="AB298" s="6"/>
      <c r="AC298" s="6"/>
      <c r="AD298" s="6"/>
    </row>
    <row r="299" spans="2:30" x14ac:dyDescent="0.25">
      <c r="B299" s="268" t="s">
        <v>49</v>
      </c>
      <c r="C299" s="274"/>
      <c r="D299" s="274"/>
      <c r="E299" s="274"/>
      <c r="F299" s="274"/>
      <c r="G299" s="275"/>
      <c r="H299" s="276"/>
      <c r="I299" s="293"/>
      <c r="J299" s="294">
        <f>[11]Summary!I299</f>
        <v>7.6168287210172023</v>
      </c>
      <c r="K299" s="294">
        <v>6.6556907659269866</v>
      </c>
      <c r="L299" s="294">
        <v>6.806627101879327</v>
      </c>
      <c r="M299" s="295">
        <v>7.1600264350453173</v>
      </c>
      <c r="N299" s="295">
        <v>7.1304191401331174</v>
      </c>
      <c r="O299" s="293">
        <v>7.0831767898142353</v>
      </c>
      <c r="P299" s="294">
        <v>7.188628824179875</v>
      </c>
      <c r="Q299" s="294">
        <v>7.375</v>
      </c>
      <c r="R299" s="295">
        <v>7.5903225806451609</v>
      </c>
      <c r="S299" s="295">
        <v>7.5524536321483771</v>
      </c>
      <c r="T299" s="293">
        <v>7.3229183978726944</v>
      </c>
      <c r="U299" s="294">
        <v>7.4819503849443967</v>
      </c>
      <c r="V299" s="294">
        <v>7.5441670163659253</v>
      </c>
      <c r="W299" s="295">
        <v>7.2129467633091728</v>
      </c>
      <c r="X299" s="295">
        <v>8.2398458345686336</v>
      </c>
      <c r="Y299" s="6"/>
      <c r="Z299" s="297"/>
      <c r="AA299" s="6"/>
      <c r="AB299" s="6"/>
      <c r="AC299" s="6"/>
      <c r="AD299" s="6"/>
    </row>
    <row r="300" spans="2:30" x14ac:dyDescent="0.25">
      <c r="B300" s="280" t="s">
        <v>16</v>
      </c>
      <c r="C300" s="281"/>
      <c r="D300" s="281"/>
      <c r="E300" s="281"/>
      <c r="F300" s="281"/>
      <c r="G300" s="281"/>
      <c r="H300" s="281"/>
      <c r="I300" s="296"/>
      <c r="J300" s="296">
        <f>[11]Summary!I300</f>
        <v>7.0937353405262487</v>
      </c>
      <c r="K300" s="296">
        <v>6.4257931390250196</v>
      </c>
      <c r="L300" s="296">
        <v>6.5971974728657052</v>
      </c>
      <c r="M300" s="296">
        <v>6.81557898082424</v>
      </c>
      <c r="N300" s="296">
        <v>6.7365687479057303</v>
      </c>
      <c r="O300" s="296">
        <v>6.941530186740799</v>
      </c>
      <c r="P300" s="296">
        <v>7.0133489961554893</v>
      </c>
      <c r="Q300" s="296">
        <v>6.9208577993362264</v>
      </c>
      <c r="R300" s="296">
        <v>7.4217794572311924</v>
      </c>
      <c r="S300" s="296">
        <v>7.0959866220735783</v>
      </c>
      <c r="T300" s="296">
        <v>7.0668925459825749</v>
      </c>
      <c r="U300" s="296">
        <v>7.4440660773800902</v>
      </c>
      <c r="V300" s="296">
        <v>7.3430574949911964</v>
      </c>
      <c r="W300" s="296">
        <v>6.904598308668076</v>
      </c>
      <c r="X300" s="296">
        <v>8.2943271221532093</v>
      </c>
      <c r="Y300" s="6"/>
      <c r="Z300" s="297"/>
      <c r="AA300" s="6"/>
      <c r="AB300" s="6"/>
      <c r="AC300" s="6"/>
      <c r="AD300" s="6"/>
    </row>
    <row r="301" spans="2:30" x14ac:dyDescent="0.25">
      <c r="B301" s="268" t="s">
        <v>50</v>
      </c>
      <c r="C301" s="274"/>
      <c r="D301" s="274"/>
      <c r="E301" s="274"/>
      <c r="F301" s="274"/>
      <c r="G301" s="275"/>
      <c r="H301" s="276"/>
      <c r="I301" s="293"/>
      <c r="J301" s="294">
        <f>[11]Summary!I301</f>
        <v>8.412357743691242</v>
      </c>
      <c r="K301" s="294">
        <v>7.5555613961312025</v>
      </c>
      <c r="L301" s="294">
        <v>8.0687732342007443</v>
      </c>
      <c r="M301" s="295">
        <v>8.7213021594414677</v>
      </c>
      <c r="N301" s="295">
        <v>8.149723036819811</v>
      </c>
      <c r="O301" s="293">
        <v>8.631183521863921</v>
      </c>
      <c r="P301" s="294">
        <v>9.2699790481891657</v>
      </c>
      <c r="Q301" s="294">
        <v>8.87800875273523</v>
      </c>
      <c r="R301" s="295">
        <v>9.2351453855878631</v>
      </c>
      <c r="S301" s="295">
        <v>8.6036042504307861</v>
      </c>
      <c r="T301" s="293">
        <v>9.0833333333333339</v>
      </c>
      <c r="U301" s="294">
        <v>9.2593351548269585</v>
      </c>
      <c r="V301" s="294">
        <v>9.0201050385688504</v>
      </c>
      <c r="W301" s="295">
        <v>8.1079307201458519</v>
      </c>
      <c r="X301" s="295">
        <v>9.3012989872302949</v>
      </c>
      <c r="Y301" s="6"/>
      <c r="Z301" s="297"/>
      <c r="AA301" s="6"/>
      <c r="AB301" s="6"/>
      <c r="AC301" s="6"/>
      <c r="AD301" s="6"/>
    </row>
    <row r="302" spans="2:30" x14ac:dyDescent="0.25">
      <c r="B302" s="268" t="s">
        <v>51</v>
      </c>
      <c r="C302" s="274"/>
      <c r="D302" s="274"/>
      <c r="E302" s="274"/>
      <c r="F302" s="274"/>
      <c r="G302" s="275"/>
      <c r="H302" s="276"/>
      <c r="I302" s="293"/>
      <c r="J302" s="294">
        <f>[11]Summary!I302</f>
        <v>7.686927840603123</v>
      </c>
      <c r="K302" s="294">
        <v>6.9799812030075188</v>
      </c>
      <c r="L302" s="294">
        <v>6.9670669256577789</v>
      </c>
      <c r="M302" s="295">
        <v>7.4538796861377508</v>
      </c>
      <c r="N302" s="295">
        <v>7.3700903719151896</v>
      </c>
      <c r="O302" s="293">
        <v>8.1153004377238354</v>
      </c>
      <c r="P302" s="294">
        <v>8.2002993265153403</v>
      </c>
      <c r="Q302" s="294">
        <v>7.9574628472970064</v>
      </c>
      <c r="R302" s="295">
        <v>7.6675660588016372</v>
      </c>
      <c r="S302" s="295">
        <v>7.4079621294428062</v>
      </c>
      <c r="T302" s="293">
        <v>7.8929860008659256</v>
      </c>
      <c r="U302" s="294">
        <v>7.9965494577719358</v>
      </c>
      <c r="V302" s="294">
        <v>7.9726457399103143</v>
      </c>
      <c r="W302" s="295">
        <v>7.2634243994347623</v>
      </c>
      <c r="X302" s="295">
        <v>8.2673755186721998</v>
      </c>
      <c r="Y302" s="6"/>
      <c r="Z302" s="6"/>
      <c r="AA302" s="6"/>
      <c r="AB302" s="6"/>
      <c r="AC302" s="6"/>
      <c r="AD302" s="6"/>
    </row>
    <row r="303" spans="2:30" x14ac:dyDescent="0.25">
      <c r="B303" s="268" t="s">
        <v>19</v>
      </c>
      <c r="C303" s="274"/>
      <c r="D303" s="274"/>
      <c r="E303" s="274"/>
      <c r="F303" s="274"/>
      <c r="G303" s="275"/>
      <c r="H303" s="276"/>
      <c r="I303" s="293"/>
      <c r="J303" s="294">
        <f>[11]Summary!I303</f>
        <v>14.616809116809117</v>
      </c>
      <c r="K303" s="294">
        <v>8.0222222222222221</v>
      </c>
      <c r="L303" s="294">
        <v>7.9731457800511505</v>
      </c>
      <c r="M303" s="295">
        <v>7.9163129169193454</v>
      </c>
      <c r="N303" s="295">
        <v>8.883022774327122</v>
      </c>
      <c r="O303" s="293">
        <v>8.6257941550190598</v>
      </c>
      <c r="P303" s="294">
        <v>7.7220828105395229</v>
      </c>
      <c r="Q303" s="294">
        <v>7.8922291548496881</v>
      </c>
      <c r="R303" s="295">
        <v>6.9361078546307153</v>
      </c>
      <c r="S303" s="295">
        <v>9.012835820895523</v>
      </c>
      <c r="T303" s="293">
        <v>8.6434621492853356</v>
      </c>
      <c r="U303" s="294">
        <v>7.9997723132969032</v>
      </c>
      <c r="V303" s="294">
        <v>7.5291803278688523</v>
      </c>
      <c r="W303" s="295">
        <v>7.395161290322581</v>
      </c>
      <c r="X303" s="295">
        <v>7.8779731127197516</v>
      </c>
      <c r="Y303" s="6"/>
      <c r="Z303" s="6"/>
      <c r="AA303" s="6"/>
      <c r="AB303" s="6"/>
      <c r="AC303" s="6"/>
      <c r="AD303" s="6"/>
    </row>
    <row r="304" spans="2:30" x14ac:dyDescent="0.25">
      <c r="B304" s="280" t="s">
        <v>20</v>
      </c>
      <c r="C304" s="281"/>
      <c r="D304" s="281"/>
      <c r="E304" s="281"/>
      <c r="F304" s="281"/>
      <c r="G304" s="281"/>
      <c r="H304" s="281"/>
      <c r="I304" s="296"/>
      <c r="J304" s="296">
        <f>[11]Summary!I304</f>
        <v>8.2099539809619877</v>
      </c>
      <c r="K304" s="296">
        <v>7.4186918147745136</v>
      </c>
      <c r="L304" s="296">
        <v>7.6359170675520023</v>
      </c>
      <c r="M304" s="296">
        <v>8.0865760909695048</v>
      </c>
      <c r="N304" s="296">
        <v>7.8931114609099771</v>
      </c>
      <c r="O304" s="296">
        <v>8.4234608320689937</v>
      </c>
      <c r="P304" s="296">
        <v>8.7200651200651205</v>
      </c>
      <c r="Q304" s="296">
        <v>8.4084661043423932</v>
      </c>
      <c r="R304" s="296">
        <v>8.2565982404692075</v>
      </c>
      <c r="S304" s="296">
        <v>8.1382774167882239</v>
      </c>
      <c r="T304" s="296">
        <v>8.5070458296305702</v>
      </c>
      <c r="U304" s="296">
        <v>8.5564895763281772</v>
      </c>
      <c r="V304" s="296">
        <v>8.445065408180163</v>
      </c>
      <c r="W304" s="296">
        <v>7.7022641855348795</v>
      </c>
      <c r="X304" s="296">
        <v>8.7286171916711162</v>
      </c>
      <c r="Y304" s="6"/>
      <c r="Z304" s="6"/>
      <c r="AA304" s="6"/>
      <c r="AB304" s="6"/>
      <c r="AC304" s="6"/>
      <c r="AD304" s="6"/>
    </row>
    <row r="305" spans="2:30" x14ac:dyDescent="0.25">
      <c r="B305" s="268" t="s">
        <v>21</v>
      </c>
      <c r="C305" s="274"/>
      <c r="D305" s="274"/>
      <c r="E305" s="274"/>
      <c r="F305" s="274"/>
      <c r="G305" s="275"/>
      <c r="H305" s="276"/>
      <c r="I305" s="293"/>
      <c r="J305" s="294">
        <f>[11]Summary!I305</f>
        <v>17.352990033222593</v>
      </c>
      <c r="K305" s="294">
        <v>6.6586568083795443</v>
      </c>
      <c r="L305" s="294">
        <v>6.6291798662442805</v>
      </c>
      <c r="M305" s="295">
        <v>7.9997763864042932</v>
      </c>
      <c r="N305" s="295">
        <v>7.171929065743945</v>
      </c>
      <c r="O305" s="293">
        <v>6.9771399106222072</v>
      </c>
      <c r="P305" s="294">
        <v>7.9292988640814732</v>
      </c>
      <c r="Q305" s="294">
        <v>7.3222259810554799</v>
      </c>
      <c r="R305" s="295">
        <v>6.9586264656616414</v>
      </c>
      <c r="S305" s="295">
        <v>8.1351293103448281</v>
      </c>
      <c r="T305" s="293">
        <v>8.1194239550403928</v>
      </c>
      <c r="U305" s="294">
        <v>8.2115001989653802</v>
      </c>
      <c r="V305" s="294">
        <v>8.3041089345437165</v>
      </c>
      <c r="W305" s="295">
        <v>8.5726238286479255</v>
      </c>
      <c r="X305" s="295">
        <v>7.86857476635514</v>
      </c>
      <c r="Y305" s="6"/>
      <c r="Z305" s="6"/>
      <c r="AA305" s="6"/>
      <c r="AB305" s="6"/>
      <c r="AC305" s="6"/>
      <c r="AD305" s="6"/>
    </row>
    <row r="306" spans="2:30" x14ac:dyDescent="0.25">
      <c r="B306" s="268" t="s">
        <v>22</v>
      </c>
      <c r="C306" s="274"/>
      <c r="D306" s="274"/>
      <c r="E306" s="274"/>
      <c r="F306" s="274"/>
      <c r="G306" s="275"/>
      <c r="H306" s="276"/>
      <c r="I306" s="293"/>
      <c r="J306" s="294">
        <f>[11]Summary!I306</f>
        <v>16.277521170130871</v>
      </c>
      <c r="K306" s="294">
        <v>6.6021046210157088</v>
      </c>
      <c r="L306" s="294">
        <v>6.628458829448264</v>
      </c>
      <c r="M306" s="295">
        <v>6.7084417696811975</v>
      </c>
      <c r="N306" s="295">
        <v>6.8023549201009255</v>
      </c>
      <c r="O306" s="293">
        <v>7.1887765628223645</v>
      </c>
      <c r="P306" s="294">
        <v>6.9966818023052744</v>
      </c>
      <c r="Q306" s="294">
        <v>7.055054671014771</v>
      </c>
      <c r="R306" s="295">
        <v>7.2140951990151825</v>
      </c>
      <c r="S306" s="295">
        <v>7.3684751335799428</v>
      </c>
      <c r="T306" s="293">
        <v>7.2649678377041065</v>
      </c>
      <c r="U306" s="294">
        <v>6.8335194639438415</v>
      </c>
      <c r="V306" s="294">
        <v>7.1221093202522772</v>
      </c>
      <c r="W306" s="295">
        <v>7.6010204081632651</v>
      </c>
      <c r="X306" s="295">
        <v>7.2501651618586216</v>
      </c>
      <c r="Y306" s="6"/>
      <c r="Z306" s="6"/>
      <c r="AA306" s="6"/>
      <c r="AB306" s="6"/>
      <c r="AC306" s="6"/>
      <c r="AD306" s="6"/>
    </row>
    <row r="307" spans="2:30" x14ac:dyDescent="0.25">
      <c r="B307" s="268" t="s">
        <v>23</v>
      </c>
      <c r="C307" s="274"/>
      <c r="D307" s="274"/>
      <c r="E307" s="274"/>
      <c r="F307" s="274"/>
      <c r="G307" s="275"/>
      <c r="H307" s="276"/>
      <c r="I307" s="293"/>
      <c r="J307" s="294">
        <f>[11]Summary!I307</f>
        <v>13.721687211093991</v>
      </c>
      <c r="K307" s="294">
        <v>8.1932911095472676</v>
      </c>
      <c r="L307" s="294">
        <v>8.2905340389704119</v>
      </c>
      <c r="M307" s="295">
        <v>8.3001516211803121</v>
      </c>
      <c r="N307" s="295">
        <v>8.8161126271396668</v>
      </c>
      <c r="O307" s="293">
        <v>8.5208160442600285</v>
      </c>
      <c r="P307" s="294">
        <v>8.9613727742676623</v>
      </c>
      <c r="Q307" s="294">
        <v>8.8941555768966936</v>
      </c>
      <c r="R307" s="295">
        <v>9.1389013285565017</v>
      </c>
      <c r="S307" s="295">
        <v>9.7724621689785618</v>
      </c>
      <c r="T307" s="293">
        <v>9.1361163992385102</v>
      </c>
      <c r="U307" s="294">
        <v>8.5347740908534337</v>
      </c>
      <c r="V307" s="294">
        <v>9.0445837441893229</v>
      </c>
      <c r="W307" s="295">
        <v>9.6837726879861705</v>
      </c>
      <c r="X307" s="295">
        <v>9.1481032392170452</v>
      </c>
      <c r="Y307" s="6"/>
      <c r="Z307" s="6"/>
      <c r="AA307" s="6"/>
      <c r="AB307" s="6"/>
      <c r="AC307" s="6"/>
      <c r="AD307" s="6"/>
    </row>
    <row r="308" spans="2:30" x14ac:dyDescent="0.25">
      <c r="B308" s="280" t="s">
        <v>24</v>
      </c>
      <c r="C308" s="281"/>
      <c r="D308" s="281"/>
      <c r="E308" s="281"/>
      <c r="F308" s="281"/>
      <c r="G308" s="281"/>
      <c r="H308" s="281"/>
      <c r="I308" s="296"/>
      <c r="J308" s="296">
        <f>[11]Summary!I308</f>
        <v>14.946075161218591</v>
      </c>
      <c r="K308" s="296">
        <v>7.3522832669540072</v>
      </c>
      <c r="L308" s="296">
        <v>7.4358277836195814</v>
      </c>
      <c r="M308" s="296">
        <v>7.6834827220191064</v>
      </c>
      <c r="N308" s="296">
        <v>7.8495618604081132</v>
      </c>
      <c r="O308" s="296">
        <v>7.7903376484719074</v>
      </c>
      <c r="P308" s="296">
        <v>8.050482188545562</v>
      </c>
      <c r="Q308" s="296">
        <v>7.9733471341700088</v>
      </c>
      <c r="R308" s="296">
        <v>8.0474309657920049</v>
      </c>
      <c r="S308" s="296">
        <v>8.6271249076127123</v>
      </c>
      <c r="T308" s="296">
        <v>8.2606062469257253</v>
      </c>
      <c r="U308" s="296">
        <v>7.8576528203917864</v>
      </c>
      <c r="V308" s="296">
        <v>8.2040939597315443</v>
      </c>
      <c r="W308" s="296">
        <v>8.6540543106722367</v>
      </c>
      <c r="X308" s="296">
        <v>8.2492931980708466</v>
      </c>
      <c r="Y308" s="6"/>
      <c r="Z308" s="6"/>
      <c r="AA308" s="6"/>
      <c r="AB308" s="6"/>
      <c r="AC308" s="6"/>
      <c r="AD308" s="6"/>
    </row>
    <row r="309" spans="2:30" ht="16.5" thickBot="1" x14ac:dyDescent="0.3">
      <c r="B309" s="284" t="s">
        <v>7</v>
      </c>
      <c r="C309" s="285">
        <f t="shared" ref="C309:H309" si="21">C308+C304+C300+C296</f>
        <v>1433</v>
      </c>
      <c r="D309" s="285">
        <f t="shared" si="21"/>
        <v>1556</v>
      </c>
      <c r="E309" s="285">
        <f t="shared" si="21"/>
        <v>1335</v>
      </c>
      <c r="F309" s="285">
        <f t="shared" si="21"/>
        <v>248</v>
      </c>
      <c r="G309" s="285">
        <f t="shared" si="21"/>
        <v>1492</v>
      </c>
      <c r="H309" s="285">
        <f t="shared" si="21"/>
        <v>6064</v>
      </c>
      <c r="I309" s="298"/>
      <c r="J309" s="298">
        <f>[11]Summary!I309</f>
        <v>8.0512131157148303</v>
      </c>
      <c r="K309" s="298">
        <v>7.0919875313923697</v>
      </c>
      <c r="L309" s="298">
        <v>7.3181054730172601</v>
      </c>
      <c r="M309" s="298">
        <v>7.5147425864038242</v>
      </c>
      <c r="N309" s="298">
        <v>7.5310418717785375</v>
      </c>
      <c r="O309" s="298">
        <v>7.7055473121271136</v>
      </c>
      <c r="P309" s="298">
        <v>7.8273490111426964</v>
      </c>
      <c r="Q309" s="298">
        <v>7.810751959740637</v>
      </c>
      <c r="R309" s="298">
        <v>7.9799537061028483</v>
      </c>
      <c r="S309" s="298">
        <v>7.9169925164389383</v>
      </c>
      <c r="T309" s="298">
        <v>7.6553469324679337</v>
      </c>
      <c r="U309" s="298">
        <v>7.9591773800060306</v>
      </c>
      <c r="V309" s="298">
        <v>8.1008230784098956</v>
      </c>
      <c r="W309" s="298"/>
      <c r="X309" s="298">
        <v>8.5350101246935957</v>
      </c>
      <c r="Y309" s="6"/>
      <c r="Z309" s="6"/>
      <c r="AA309" s="6"/>
      <c r="AB309" s="6"/>
      <c r="AC309" s="6"/>
      <c r="AD309" s="6"/>
    </row>
    <row r="310" spans="2:30" x14ac:dyDescent="0.25">
      <c r="B310" s="12"/>
      <c r="C310" s="16"/>
      <c r="D310" s="16"/>
      <c r="E310" s="16"/>
      <c r="F310" s="16"/>
      <c r="G310" s="16"/>
      <c r="H310" s="16"/>
      <c r="I310" s="12"/>
      <c r="J310" s="12"/>
      <c r="K310" s="12"/>
      <c r="L310" s="12"/>
      <c r="M310" s="12"/>
      <c r="N310" s="13"/>
      <c r="O310" s="15"/>
      <c r="P310" s="15"/>
      <c r="Q310" s="15"/>
      <c r="R310" s="15"/>
      <c r="S310" s="13"/>
      <c r="T310" s="10"/>
      <c r="U310" s="10"/>
      <c r="V310" s="10"/>
      <c r="W310" s="10"/>
      <c r="X310" s="10"/>
      <c r="Y310" s="10"/>
      <c r="Z310" s="10"/>
      <c r="AA310" s="10"/>
      <c r="AB310" s="10"/>
    </row>
    <row r="311" spans="2:30" s="299" customFormat="1" ht="12.75" x14ac:dyDescent="0.2">
      <c r="B311" s="349" t="s">
        <v>44</v>
      </c>
      <c r="C311" s="349"/>
      <c r="D311" s="349"/>
      <c r="E311" s="349"/>
      <c r="F311" s="349"/>
      <c r="G311" s="350"/>
      <c r="H311" s="351" t="s">
        <v>38</v>
      </c>
      <c r="I311" s="352"/>
      <c r="J311" s="352"/>
      <c r="K311" s="352"/>
      <c r="L311" s="353"/>
      <c r="M311" s="354" t="s">
        <v>42</v>
      </c>
      <c r="N311" s="354"/>
      <c r="O311" s="354"/>
      <c r="P311" s="354"/>
      <c r="Q311" s="354"/>
      <c r="R311" s="300"/>
      <c r="S311" s="301"/>
      <c r="T311" s="302"/>
      <c r="U311" s="302"/>
      <c r="V311" s="302"/>
      <c r="W311" s="302"/>
      <c r="X311" s="302"/>
      <c r="Y311" s="303"/>
      <c r="Z311" s="302"/>
      <c r="AA311" s="302"/>
      <c r="AB311" s="303"/>
    </row>
    <row r="312" spans="2:30" s="304" customFormat="1" ht="24.75" x14ac:dyDescent="0.25">
      <c r="B312" s="320" t="s">
        <v>25</v>
      </c>
      <c r="C312" s="265" t="s">
        <v>39</v>
      </c>
      <c r="D312" s="265" t="s">
        <v>40</v>
      </c>
      <c r="E312" s="265" t="s">
        <v>41</v>
      </c>
      <c r="F312" s="265" t="s">
        <v>1</v>
      </c>
      <c r="G312" s="321" t="s">
        <v>7</v>
      </c>
      <c r="H312" s="322" t="s">
        <v>39</v>
      </c>
      <c r="I312" s="265" t="s">
        <v>40</v>
      </c>
      <c r="J312" s="265" t="s">
        <v>41</v>
      </c>
      <c r="K312" s="265" t="s">
        <v>1</v>
      </c>
      <c r="L312" s="321" t="s">
        <v>7</v>
      </c>
      <c r="M312" s="265" t="s">
        <v>39</v>
      </c>
      <c r="N312" s="265" t="s">
        <v>40</v>
      </c>
      <c r="O312" s="265" t="s">
        <v>41</v>
      </c>
      <c r="P312" s="265" t="s">
        <v>1</v>
      </c>
      <c r="Q312" s="323" t="s">
        <v>7</v>
      </c>
      <c r="R312" s="305"/>
      <c r="S312" s="305"/>
      <c r="T312" s="306"/>
      <c r="U312" s="306"/>
      <c r="V312" s="306"/>
      <c r="W312" s="9"/>
      <c r="X312" s="9"/>
      <c r="Y312" s="306"/>
      <c r="Z312" s="306"/>
      <c r="AA312" s="9"/>
      <c r="AB312" s="306"/>
    </row>
    <row r="313" spans="2:30" x14ac:dyDescent="0.25">
      <c r="B313" s="268" t="s">
        <v>9</v>
      </c>
      <c r="C313" s="307">
        <f>'Data Entry'!B65</f>
        <v>96</v>
      </c>
      <c r="D313" s="308">
        <f>'Data Entry'!C65</f>
        <v>2084</v>
      </c>
      <c r="E313" s="307">
        <f>'Data Entry'!D65</f>
        <v>988</v>
      </c>
      <c r="F313" s="307">
        <f>'Data Entry'!E65</f>
        <v>1096</v>
      </c>
      <c r="G313" s="309">
        <f>SUM(C313:D313)</f>
        <v>2180</v>
      </c>
      <c r="H313" s="310">
        <f>'Data Entry'!B80</f>
        <v>685</v>
      </c>
      <c r="I313" s="308">
        <f>'Data Entry'!C80</f>
        <v>2119</v>
      </c>
      <c r="J313" s="307">
        <f>'Data Entry'!D80</f>
        <v>2001</v>
      </c>
      <c r="K313" s="307">
        <f>'Data Entry'!E80</f>
        <v>118</v>
      </c>
      <c r="L313" s="309">
        <f>'Data Entry'!F80</f>
        <v>2804</v>
      </c>
      <c r="M313" s="307">
        <f>'Data Entry'!B95</f>
        <v>781</v>
      </c>
      <c r="N313" s="308">
        <f>'Data Entry'!C95</f>
        <v>4203</v>
      </c>
      <c r="O313" s="307">
        <f>'Data Entry'!D95</f>
        <v>2989</v>
      </c>
      <c r="P313" s="307">
        <f>'Data Entry'!E95</f>
        <v>1214</v>
      </c>
      <c r="Q313" s="311">
        <f>'Data Entry'!F95</f>
        <v>4984</v>
      </c>
      <c r="R313" s="3"/>
      <c r="T313" s="6"/>
      <c r="U313" s="6"/>
      <c r="V313" s="6"/>
      <c r="W313" s="6"/>
      <c r="X313" s="6"/>
      <c r="Y313" s="6"/>
      <c r="Z313" s="6"/>
      <c r="AA313" s="6"/>
      <c r="AB313" s="6"/>
    </row>
    <row r="314" spans="2:30" x14ac:dyDescent="0.25">
      <c r="B314" s="268" t="s">
        <v>10</v>
      </c>
      <c r="C314" s="307">
        <f>'Data Entry'!B66</f>
        <v>49</v>
      </c>
      <c r="D314" s="308">
        <f>'Data Entry'!C66</f>
        <v>2240</v>
      </c>
      <c r="E314" s="307">
        <f>'Data Entry'!D66</f>
        <v>1096</v>
      </c>
      <c r="F314" s="307">
        <f>'Data Entry'!E66</f>
        <v>1144</v>
      </c>
      <c r="G314" s="309">
        <f>SUM(C314:D314)</f>
        <v>2289</v>
      </c>
      <c r="H314" s="310">
        <f>'Data Entry'!B81</f>
        <v>824</v>
      </c>
      <c r="I314" s="308">
        <f>'Data Entry'!C81</f>
        <v>2436</v>
      </c>
      <c r="J314" s="307">
        <f>'Data Entry'!D81</f>
        <v>2245</v>
      </c>
      <c r="K314" s="307">
        <f>'Data Entry'!E81</f>
        <v>191</v>
      </c>
      <c r="L314" s="309">
        <f>'Data Entry'!F81</f>
        <v>3260</v>
      </c>
      <c r="M314" s="307">
        <f>'Data Entry'!B96</f>
        <v>873</v>
      </c>
      <c r="N314" s="308">
        <f>'Data Entry'!C96</f>
        <v>4676</v>
      </c>
      <c r="O314" s="307">
        <f>'Data Entry'!D96</f>
        <v>3341</v>
      </c>
      <c r="P314" s="307">
        <f>'Data Entry'!E96</f>
        <v>1335</v>
      </c>
      <c r="Q314" s="311">
        <f>'Data Entry'!F96</f>
        <v>5549</v>
      </c>
      <c r="T314" s="6"/>
      <c r="U314" s="6"/>
      <c r="V314" s="6"/>
      <c r="W314" s="6"/>
      <c r="X314" s="6"/>
      <c r="Y314" s="6"/>
      <c r="Z314" s="6"/>
      <c r="AA314" s="6"/>
      <c r="AB314" s="6"/>
    </row>
    <row r="315" spans="2:30" x14ac:dyDescent="0.25">
      <c r="B315" s="268" t="s">
        <v>11</v>
      </c>
      <c r="C315" s="307"/>
      <c r="D315" s="308"/>
      <c r="E315" s="307"/>
      <c r="F315" s="307"/>
      <c r="G315" s="309"/>
      <c r="H315" s="310"/>
      <c r="I315" s="308"/>
      <c r="J315" s="307"/>
      <c r="K315" s="307"/>
      <c r="L315" s="309"/>
      <c r="M315" s="307"/>
      <c r="N315" s="308"/>
      <c r="O315" s="307"/>
      <c r="P315" s="307"/>
      <c r="Q315" s="311"/>
      <c r="R315" s="3"/>
      <c r="T315" s="6"/>
      <c r="U315" s="6"/>
      <c r="V315" s="6"/>
      <c r="W315" s="6"/>
      <c r="X315" s="6"/>
      <c r="Y315" s="6"/>
      <c r="Z315" s="6"/>
      <c r="AA315" s="6"/>
      <c r="AB315" s="6"/>
    </row>
    <row r="316" spans="2:30" x14ac:dyDescent="0.25">
      <c r="B316" s="280" t="s">
        <v>12</v>
      </c>
      <c r="C316" s="312">
        <f t="shared" ref="C316:Q316" si="22">SUM(C313:C315)</f>
        <v>145</v>
      </c>
      <c r="D316" s="312">
        <f t="shared" si="22"/>
        <v>4324</v>
      </c>
      <c r="E316" s="312">
        <f t="shared" si="22"/>
        <v>2084</v>
      </c>
      <c r="F316" s="312">
        <f t="shared" si="22"/>
        <v>2240</v>
      </c>
      <c r="G316" s="313">
        <f>SUM(G313:G315)</f>
        <v>4469</v>
      </c>
      <c r="H316" s="312">
        <f t="shared" si="22"/>
        <v>1509</v>
      </c>
      <c r="I316" s="312">
        <f t="shared" si="22"/>
        <v>4555</v>
      </c>
      <c r="J316" s="312">
        <f t="shared" si="22"/>
        <v>4246</v>
      </c>
      <c r="K316" s="312">
        <f t="shared" si="22"/>
        <v>309</v>
      </c>
      <c r="L316" s="313">
        <f>SUM(L313:L315)</f>
        <v>6064</v>
      </c>
      <c r="M316" s="312">
        <f t="shared" si="22"/>
        <v>1654</v>
      </c>
      <c r="N316" s="312">
        <f t="shared" si="22"/>
        <v>8879</v>
      </c>
      <c r="O316" s="312">
        <f t="shared" si="22"/>
        <v>6330</v>
      </c>
      <c r="P316" s="312">
        <f t="shared" si="22"/>
        <v>2549</v>
      </c>
      <c r="Q316" s="312">
        <f t="shared" si="22"/>
        <v>10533</v>
      </c>
      <c r="T316" s="6"/>
      <c r="U316" s="6"/>
      <c r="V316" s="6"/>
      <c r="W316" s="6"/>
      <c r="X316" s="6"/>
      <c r="Y316" s="6"/>
      <c r="Z316" s="6"/>
      <c r="AA316" s="6"/>
      <c r="AB316" s="6"/>
    </row>
    <row r="317" spans="2:30" x14ac:dyDescent="0.25">
      <c r="B317" s="268" t="s">
        <v>13</v>
      </c>
      <c r="C317" s="307"/>
      <c r="D317" s="308"/>
      <c r="E317" s="307"/>
      <c r="F317" s="307"/>
      <c r="G317" s="309"/>
      <c r="H317" s="310"/>
      <c r="I317" s="308"/>
      <c r="J317" s="307"/>
      <c r="K317" s="307"/>
      <c r="L317" s="309"/>
      <c r="M317" s="307"/>
      <c r="N317" s="308"/>
      <c r="O317" s="307"/>
      <c r="P317" s="307"/>
      <c r="Q317" s="311"/>
      <c r="T317" s="6"/>
      <c r="U317" s="6"/>
      <c r="V317" s="6"/>
      <c r="W317" s="6"/>
      <c r="X317" s="6"/>
      <c r="Y317" s="6"/>
      <c r="Z317" s="6"/>
      <c r="AA317" s="6"/>
      <c r="AB317" s="6"/>
    </row>
    <row r="318" spans="2:30" x14ac:dyDescent="0.25">
      <c r="B318" s="268" t="s">
        <v>14</v>
      </c>
      <c r="C318" s="307"/>
      <c r="D318" s="308"/>
      <c r="E318" s="307"/>
      <c r="F318" s="307"/>
      <c r="G318" s="309"/>
      <c r="H318" s="310"/>
      <c r="I318" s="308"/>
      <c r="J318" s="307"/>
      <c r="K318" s="307"/>
      <c r="L318" s="309"/>
      <c r="M318" s="307"/>
      <c r="N318" s="308"/>
      <c r="O318" s="307"/>
      <c r="P318" s="307"/>
      <c r="Q318" s="311"/>
      <c r="T318" s="6"/>
      <c r="U318" s="6"/>
      <c r="V318" s="6"/>
      <c r="W318" s="6"/>
      <c r="X318" s="6"/>
      <c r="Y318" s="6"/>
      <c r="Z318" s="6"/>
      <c r="AA318" s="6"/>
      <c r="AB318" s="6"/>
    </row>
    <row r="319" spans="2:30" x14ac:dyDescent="0.25">
      <c r="B319" s="268" t="s">
        <v>15</v>
      </c>
      <c r="C319" s="307"/>
      <c r="D319" s="308"/>
      <c r="E319" s="307"/>
      <c r="F319" s="307"/>
      <c r="G319" s="309"/>
      <c r="H319" s="310"/>
      <c r="I319" s="308"/>
      <c r="J319" s="307"/>
      <c r="K319" s="307"/>
      <c r="L319" s="309"/>
      <c r="M319" s="307"/>
      <c r="N319" s="308"/>
      <c r="O319" s="307"/>
      <c r="P319" s="307"/>
      <c r="Q319" s="311"/>
      <c r="T319" s="6"/>
      <c r="U319" s="6"/>
      <c r="V319" s="6"/>
      <c r="W319" s="6"/>
      <c r="X319" s="6"/>
      <c r="Y319" s="6"/>
      <c r="Z319" s="6"/>
      <c r="AA319" s="6"/>
      <c r="AB319" s="6"/>
    </row>
    <row r="320" spans="2:30" x14ac:dyDescent="0.25">
      <c r="B320" s="280" t="s">
        <v>16</v>
      </c>
      <c r="C320" s="312"/>
      <c r="D320" s="312"/>
      <c r="E320" s="312"/>
      <c r="F320" s="312"/>
      <c r="G320" s="313"/>
      <c r="H320" s="314"/>
      <c r="I320" s="312"/>
      <c r="J320" s="312"/>
      <c r="K320" s="312"/>
      <c r="L320" s="313"/>
      <c r="M320" s="312"/>
      <c r="N320" s="312"/>
      <c r="O320" s="312"/>
      <c r="P320" s="312"/>
      <c r="Q320" s="312"/>
      <c r="T320" s="6"/>
      <c r="U320" s="6"/>
      <c r="V320" s="6"/>
      <c r="W320" s="6"/>
      <c r="X320" s="6"/>
      <c r="Y320" s="6"/>
      <c r="Z320" s="6"/>
      <c r="AA320" s="6"/>
      <c r="AB320" s="6"/>
    </row>
    <row r="321" spans="2:28" x14ac:dyDescent="0.25">
      <c r="B321" s="268" t="s">
        <v>17</v>
      </c>
      <c r="C321" s="307"/>
      <c r="D321" s="308"/>
      <c r="E321" s="307"/>
      <c r="F321" s="307"/>
      <c r="G321" s="309"/>
      <c r="H321" s="310"/>
      <c r="I321" s="308"/>
      <c r="J321" s="307"/>
      <c r="K321" s="307"/>
      <c r="L321" s="309"/>
      <c r="M321" s="307"/>
      <c r="N321" s="308"/>
      <c r="O321" s="307"/>
      <c r="P321" s="307"/>
      <c r="Q321" s="311"/>
      <c r="T321" s="6"/>
      <c r="U321" s="6"/>
      <c r="V321" s="6"/>
      <c r="W321" s="6"/>
      <c r="X321" s="6"/>
      <c r="Y321" s="6"/>
      <c r="Z321" s="6"/>
      <c r="AA321" s="6"/>
      <c r="AB321" s="6"/>
    </row>
    <row r="322" spans="2:28" x14ac:dyDescent="0.25">
      <c r="B322" s="268" t="s">
        <v>18</v>
      </c>
      <c r="C322" s="307"/>
      <c r="D322" s="308"/>
      <c r="E322" s="307"/>
      <c r="F322" s="307"/>
      <c r="G322" s="309"/>
      <c r="H322" s="310"/>
      <c r="I322" s="308"/>
      <c r="J322" s="307"/>
      <c r="K322" s="307"/>
      <c r="L322" s="309"/>
      <c r="M322" s="307"/>
      <c r="N322" s="308"/>
      <c r="O322" s="307"/>
      <c r="P322" s="307"/>
      <c r="Q322" s="311"/>
      <c r="T322" s="6"/>
      <c r="U322" s="6"/>
      <c r="V322" s="6"/>
      <c r="W322" s="6"/>
      <c r="X322" s="6"/>
      <c r="Y322" s="6"/>
      <c r="Z322" s="6"/>
      <c r="AA322" s="6"/>
      <c r="AB322" s="6"/>
    </row>
    <row r="323" spans="2:28" x14ac:dyDescent="0.25">
      <c r="B323" s="268" t="s">
        <v>19</v>
      </c>
      <c r="C323" s="307"/>
      <c r="D323" s="308"/>
      <c r="E323" s="307"/>
      <c r="F323" s="307"/>
      <c r="G323" s="309"/>
      <c r="H323" s="310"/>
      <c r="I323" s="308"/>
      <c r="J323" s="307"/>
      <c r="K323" s="307"/>
      <c r="L323" s="309"/>
      <c r="M323" s="307"/>
      <c r="N323" s="308"/>
      <c r="O323" s="307"/>
      <c r="P323" s="307"/>
      <c r="Q323" s="311"/>
      <c r="T323" s="6"/>
      <c r="U323" s="6"/>
      <c r="V323" s="6"/>
      <c r="W323" s="6"/>
      <c r="X323" s="6"/>
      <c r="Y323" s="6"/>
      <c r="Z323" s="6"/>
      <c r="AA323" s="6"/>
      <c r="AB323" s="6"/>
    </row>
    <row r="324" spans="2:28" x14ac:dyDescent="0.25">
      <c r="B324" s="280" t="s">
        <v>20</v>
      </c>
      <c r="C324" s="312"/>
      <c r="D324" s="312"/>
      <c r="E324" s="312"/>
      <c r="F324" s="312"/>
      <c r="G324" s="313"/>
      <c r="H324" s="314"/>
      <c r="I324" s="312"/>
      <c r="J324" s="312"/>
      <c r="K324" s="312"/>
      <c r="L324" s="313"/>
      <c r="M324" s="312"/>
      <c r="N324" s="312"/>
      <c r="O324" s="312"/>
      <c r="P324" s="312"/>
      <c r="Q324" s="312"/>
      <c r="T324" s="6"/>
      <c r="U324" s="6"/>
      <c r="V324" s="6"/>
      <c r="W324" s="6"/>
      <c r="X324" s="6"/>
      <c r="Y324" s="6"/>
      <c r="Z324" s="6"/>
      <c r="AA324" s="6"/>
      <c r="AB324" s="6"/>
    </row>
    <row r="325" spans="2:28" x14ac:dyDescent="0.25">
      <c r="B325" s="268" t="s">
        <v>21</v>
      </c>
      <c r="C325" s="307"/>
      <c r="D325" s="308"/>
      <c r="E325" s="307"/>
      <c r="F325" s="307"/>
      <c r="G325" s="309"/>
      <c r="H325" s="310"/>
      <c r="I325" s="308"/>
      <c r="J325" s="307"/>
      <c r="K325" s="307"/>
      <c r="L325" s="309"/>
      <c r="M325" s="307"/>
      <c r="N325" s="308"/>
      <c r="O325" s="307"/>
      <c r="P325" s="307"/>
      <c r="Q325" s="311"/>
      <c r="T325" s="6"/>
      <c r="U325" s="6"/>
      <c r="V325" s="6"/>
      <c r="W325" s="6"/>
      <c r="X325" s="6"/>
      <c r="Y325" s="6"/>
      <c r="Z325" s="6"/>
      <c r="AA325" s="6"/>
      <c r="AB325" s="6"/>
    </row>
    <row r="326" spans="2:28" x14ac:dyDescent="0.25">
      <c r="B326" s="268" t="s">
        <v>22</v>
      </c>
      <c r="C326" s="307"/>
      <c r="D326" s="308"/>
      <c r="E326" s="307"/>
      <c r="F326" s="307"/>
      <c r="G326" s="309"/>
      <c r="H326" s="310"/>
      <c r="I326" s="308"/>
      <c r="J326" s="307"/>
      <c r="K326" s="307"/>
      <c r="L326" s="309"/>
      <c r="M326" s="307"/>
      <c r="N326" s="308"/>
      <c r="O326" s="307"/>
      <c r="P326" s="307"/>
      <c r="Q326" s="311"/>
    </row>
    <row r="327" spans="2:28" x14ac:dyDescent="0.25">
      <c r="B327" s="268" t="s">
        <v>23</v>
      </c>
      <c r="C327" s="307"/>
      <c r="D327" s="308"/>
      <c r="E327" s="307"/>
      <c r="F327" s="307"/>
      <c r="G327" s="309"/>
      <c r="H327" s="310"/>
      <c r="I327" s="308"/>
      <c r="J327" s="307"/>
      <c r="K327" s="307"/>
      <c r="L327" s="309"/>
      <c r="M327" s="307"/>
      <c r="N327" s="308"/>
      <c r="O327" s="307"/>
      <c r="P327" s="307"/>
      <c r="Q327" s="311"/>
    </row>
    <row r="328" spans="2:28" x14ac:dyDescent="0.25">
      <c r="B328" s="280" t="s">
        <v>24</v>
      </c>
      <c r="C328" s="312"/>
      <c r="D328" s="312"/>
      <c r="E328" s="312"/>
      <c r="F328" s="312"/>
      <c r="G328" s="313"/>
      <c r="H328" s="314"/>
      <c r="I328" s="312"/>
      <c r="J328" s="312"/>
      <c r="K328" s="312"/>
      <c r="L328" s="313"/>
      <c r="M328" s="312"/>
      <c r="N328" s="312"/>
      <c r="O328" s="312"/>
      <c r="P328" s="312"/>
      <c r="Q328" s="312"/>
    </row>
    <row r="329" spans="2:28" ht="16.5" thickBot="1" x14ac:dyDescent="0.3">
      <c r="B329" s="315" t="s">
        <v>0</v>
      </c>
      <c r="C329" s="316">
        <f>+C328+C324+C320+C316</f>
        <v>145</v>
      </c>
      <c r="D329" s="316">
        <f>+D328+D324+D320+D316</f>
        <v>4324</v>
      </c>
      <c r="E329" s="316">
        <f>+E328+E324+E320+E316</f>
        <v>2084</v>
      </c>
      <c r="F329" s="316">
        <f>+F328+F324+F320+F316</f>
        <v>2240</v>
      </c>
      <c r="G329" s="317">
        <f>G328+G324+G320+G316</f>
        <v>4469</v>
      </c>
      <c r="H329" s="318">
        <f>+H328+H324+H320+H316</f>
        <v>1509</v>
      </c>
      <c r="I329" s="316">
        <f>+I328+I324+I320+I316</f>
        <v>4555</v>
      </c>
      <c r="J329" s="316">
        <f>+J328+J324+J320+J316</f>
        <v>4246</v>
      </c>
      <c r="K329" s="316">
        <f>+K328+K324+K320+K316</f>
        <v>309</v>
      </c>
      <c r="L329" s="317">
        <f>L328+L324+L320+L316</f>
        <v>6064</v>
      </c>
      <c r="M329" s="316">
        <f>+M328+M324+M320+M316</f>
        <v>1654</v>
      </c>
      <c r="N329" s="316">
        <f>+N328+N324+N320+N316</f>
        <v>8879</v>
      </c>
      <c r="O329" s="316">
        <f>+O328+O324+O320+O316</f>
        <v>6330</v>
      </c>
      <c r="P329" s="316">
        <f>+P328+P324+P320+P316</f>
        <v>2549</v>
      </c>
      <c r="Q329" s="319">
        <f>Q328+Q324+Q320+Q316</f>
        <v>10533</v>
      </c>
    </row>
    <row r="330" spans="2:28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</row>
    <row r="331" spans="2:28" x14ac:dyDescent="0.25">
      <c r="B331" s="3"/>
      <c r="C331" s="3"/>
      <c r="D331" s="3"/>
      <c r="E331" s="3"/>
      <c r="F331" s="3"/>
      <c r="G331" s="3"/>
      <c r="H331" s="3"/>
      <c r="I331" s="3"/>
      <c r="J331" s="6"/>
      <c r="K331" s="6"/>
      <c r="L331" s="7"/>
      <c r="M331" s="14"/>
      <c r="N331" s="14"/>
      <c r="O331" s="14"/>
      <c r="P331" s="14"/>
      <c r="Q331" s="14"/>
    </row>
    <row r="332" spans="2:28" x14ac:dyDescent="0.25">
      <c r="B332" s="3"/>
      <c r="C332" s="3"/>
      <c r="D332" s="3"/>
      <c r="E332" s="3"/>
      <c r="F332" s="3"/>
      <c r="G332" s="3"/>
      <c r="H332" s="3"/>
      <c r="I332" s="3"/>
      <c r="J332" s="6"/>
      <c r="K332" s="3"/>
      <c r="L332" s="8"/>
    </row>
    <row r="333" spans="2:28" x14ac:dyDescent="0.25">
      <c r="B333" s="3"/>
      <c r="C333" s="3"/>
      <c r="D333" s="3"/>
      <c r="E333" s="3"/>
      <c r="F333" s="3"/>
      <c r="G333" s="3"/>
      <c r="H333" s="3"/>
      <c r="I333" s="3"/>
    </row>
    <row r="334" spans="2:28" x14ac:dyDescent="0.25">
      <c r="B334" s="3"/>
      <c r="C334" s="3"/>
      <c r="D334" s="3"/>
      <c r="E334" s="3"/>
      <c r="F334" s="3"/>
      <c r="G334" s="3"/>
      <c r="H334" s="3"/>
      <c r="I334" s="3"/>
    </row>
    <row r="335" spans="2:28" x14ac:dyDescent="0.25">
      <c r="B335" s="3"/>
      <c r="C335" s="3"/>
      <c r="D335" s="3"/>
      <c r="E335" s="3"/>
      <c r="F335" s="3"/>
      <c r="G335" s="3"/>
      <c r="H335" s="3"/>
      <c r="I335" s="3"/>
    </row>
    <row r="336" spans="2:28" x14ac:dyDescent="0.25">
      <c r="B336" s="3"/>
      <c r="C336" s="3"/>
      <c r="D336" s="3"/>
      <c r="E336" s="3"/>
      <c r="F336" s="3"/>
      <c r="G336" s="3"/>
      <c r="H336" s="3"/>
      <c r="I336" s="3"/>
    </row>
  </sheetData>
  <mergeCells count="4">
    <mergeCell ref="B11:AB11"/>
    <mergeCell ref="B311:G311"/>
    <mergeCell ref="H311:L311"/>
    <mergeCell ref="M311:Q311"/>
  </mergeCells>
  <phoneticPr fontId="0" type="noConversion"/>
  <pageMargins left="0.47" right="0.17" top="0.19" bottom="0.19" header="0.17" footer="0.17"/>
  <pageSetup paperSize="5" scale="73" orientation="portrait" r:id="rId1"/>
  <headerFooter alignWithMargins="0"/>
  <rowBreaks count="210" manualBreakCount="210">
    <brk id="50" max="16383" man="1"/>
    <brk id="90" max="16383" man="1"/>
    <brk id="292" max="16383" man="1"/>
    <brk id="360" max="16383" man="1"/>
    <brk id="394" max="16383" man="1"/>
    <brk id="427" max="16383" man="1"/>
    <brk id="461" max="16383" man="1"/>
    <brk id="495" max="16383" man="1"/>
    <brk id="529" max="16383" man="1"/>
    <brk id="563" max="16383" man="1"/>
    <brk id="597" max="16383" man="1"/>
    <brk id="631" max="16383" man="1"/>
    <brk id="665" max="16383" man="1"/>
    <brk id="699" max="16383" man="1"/>
    <brk id="733" max="16383" man="1"/>
    <brk id="767" max="16383" man="1"/>
    <brk id="801" max="16383" man="1"/>
    <brk id="835" max="16383" man="1"/>
    <brk id="869" max="16383" man="1"/>
    <brk id="903" max="16383" man="1"/>
    <brk id="937" max="16383" man="1"/>
    <brk id="971" max="16383" man="1"/>
    <brk id="1005" max="16383" man="1"/>
    <brk id="1039" max="16383" man="1"/>
    <brk id="1073" max="16383" man="1"/>
    <brk id="1107" max="16383" man="1"/>
    <brk id="1141" max="16383" man="1"/>
    <brk id="1175" max="16383" man="1"/>
    <brk id="1209" max="16383" man="1"/>
    <brk id="1243" max="16383" man="1"/>
    <brk id="1277" max="16383" man="1"/>
    <brk id="1311" max="16383" man="1"/>
    <brk id="1345" max="16383" man="1"/>
    <brk id="1379" max="16383" man="1"/>
    <brk id="1413" max="16383" man="1"/>
    <brk id="1447" max="16383" man="1"/>
    <brk id="1481" max="16383" man="1"/>
    <brk id="1515" max="16383" man="1"/>
    <brk id="1549" max="16383" man="1"/>
    <brk id="1583" max="16383" man="1"/>
    <brk id="1617" max="16383" man="1"/>
    <brk id="1651" max="16383" man="1"/>
    <brk id="1685" max="16383" man="1"/>
    <brk id="1719" max="16383" man="1"/>
    <brk id="1753" max="16383" man="1"/>
    <brk id="1787" max="16383" man="1"/>
    <brk id="1821" max="16383" man="1"/>
    <brk id="1855" max="16383" man="1"/>
    <brk id="1889" max="16383" man="1"/>
    <brk id="1923" max="16383" man="1"/>
    <brk id="1957" max="16383" man="1"/>
    <brk id="1991" max="16383" man="1"/>
    <brk id="2025" max="16383" man="1"/>
    <brk id="2059" max="16383" man="1"/>
    <brk id="2093" max="16383" man="1"/>
    <brk id="2127" max="16383" man="1"/>
    <brk id="2161" max="16383" man="1"/>
    <brk id="2195" max="16383" man="1"/>
    <brk id="2229" max="16383" man="1"/>
    <brk id="2263" max="16383" man="1"/>
    <brk id="2297" max="16383" man="1"/>
    <brk id="2331" max="16383" man="1"/>
    <brk id="2365" max="16383" man="1"/>
    <brk id="2399" max="16383" man="1"/>
    <brk id="2433" max="16383" man="1"/>
    <brk id="2467" max="16383" man="1"/>
    <brk id="2501" max="16383" man="1"/>
    <brk id="2535" max="16383" man="1"/>
    <brk id="2569" max="16383" man="1"/>
    <brk id="2603" max="16383" man="1"/>
    <brk id="2637" max="16383" man="1"/>
    <brk id="2671" max="16383" man="1"/>
    <brk id="2705" max="16383" man="1"/>
    <brk id="2739" max="16383" man="1"/>
    <brk id="2773" max="16383" man="1"/>
    <brk id="2807" max="16383" man="1"/>
    <brk id="2841" max="16383" man="1"/>
    <brk id="2875" max="16383" man="1"/>
    <brk id="2909" max="16383" man="1"/>
    <brk id="2943" max="16383" man="1"/>
    <brk id="2977" max="16383" man="1"/>
    <brk id="3011" max="16383" man="1"/>
    <brk id="3045" max="16383" man="1"/>
    <brk id="3079" max="16383" man="1"/>
    <brk id="3113" max="16383" man="1"/>
    <brk id="3147" max="16383" man="1"/>
    <brk id="3181" max="16383" man="1"/>
    <brk id="3215" max="16383" man="1"/>
    <brk id="3249" max="16383" man="1"/>
    <brk id="3283" max="16383" man="1"/>
    <brk id="3317" max="16383" man="1"/>
    <brk id="3351" max="16383" man="1"/>
    <brk id="3385" max="16383" man="1"/>
    <brk id="3419" max="16383" man="1"/>
    <brk id="3453" max="16383" man="1"/>
    <brk id="3487" max="16383" man="1"/>
    <brk id="3521" max="16383" man="1"/>
    <brk id="3555" max="16383" man="1"/>
    <brk id="3589" max="16383" man="1"/>
    <brk id="3623" max="16383" man="1"/>
    <brk id="3657" max="16383" man="1"/>
    <brk id="3691" max="16383" man="1"/>
    <brk id="3725" max="16383" man="1"/>
    <brk id="3759" max="16383" man="1"/>
    <brk id="3793" max="16383" man="1"/>
    <brk id="3827" max="16383" man="1"/>
    <brk id="3861" max="16383" man="1"/>
    <brk id="3895" max="16383" man="1"/>
    <brk id="3929" max="16383" man="1"/>
    <brk id="3963" max="16383" man="1"/>
    <brk id="3997" max="16383" man="1"/>
    <brk id="4031" max="16383" man="1"/>
    <brk id="4065" max="16383" man="1"/>
    <brk id="4099" max="16383" man="1"/>
    <brk id="4133" max="16383" man="1"/>
    <brk id="4167" max="16383" man="1"/>
    <brk id="4201" max="16383" man="1"/>
    <brk id="4235" max="16383" man="1"/>
    <brk id="4269" max="16383" man="1"/>
    <brk id="4303" max="16383" man="1"/>
    <brk id="4337" max="16383" man="1"/>
    <brk id="4371" max="16383" man="1"/>
    <brk id="4405" max="16383" man="1"/>
    <brk id="4439" max="16383" man="1"/>
    <brk id="4473" max="16383" man="1"/>
    <brk id="4507" max="16383" man="1"/>
    <brk id="4541" max="16383" man="1"/>
    <brk id="4575" max="16383" man="1"/>
    <brk id="4609" max="16383" man="1"/>
    <brk id="4643" max="16383" man="1"/>
    <brk id="4677" max="16383" man="1"/>
    <brk id="4711" max="16383" man="1"/>
    <brk id="4745" max="16383" man="1"/>
    <brk id="4779" max="16383" man="1"/>
    <brk id="4813" max="16383" man="1"/>
    <brk id="4847" max="16383" man="1"/>
    <brk id="4881" max="16383" man="1"/>
    <brk id="4915" max="16383" man="1"/>
    <brk id="4949" max="16383" man="1"/>
    <brk id="4983" max="16383" man="1"/>
    <brk id="5017" max="16383" man="1"/>
    <brk id="5051" max="16383" man="1"/>
    <brk id="5085" max="16383" man="1"/>
    <brk id="5119" max="16383" man="1"/>
    <brk id="5153" max="16383" man="1"/>
    <brk id="5187" max="16383" man="1"/>
    <brk id="5221" max="16383" man="1"/>
    <brk id="5255" max="16383" man="1"/>
    <brk id="5289" max="16383" man="1"/>
    <brk id="5323" max="16383" man="1"/>
    <brk id="5357" max="16383" man="1"/>
    <brk id="5391" max="16383" man="1"/>
    <brk id="5425" max="16383" man="1"/>
    <brk id="5459" max="16383" man="1"/>
    <brk id="5493" max="16383" man="1"/>
    <brk id="5527" max="16383" man="1"/>
    <brk id="5561" max="16383" man="1"/>
    <brk id="5595" max="16383" man="1"/>
    <brk id="5629" max="16383" man="1"/>
    <brk id="5663" max="16383" man="1"/>
    <brk id="5697" max="16383" man="1"/>
    <brk id="5731" max="16383" man="1"/>
    <brk id="5765" max="16383" man="1"/>
    <brk id="5799" max="16383" man="1"/>
    <brk id="5833" max="16383" man="1"/>
    <brk id="5867" max="16383" man="1"/>
    <brk id="5901" max="16383" man="1"/>
    <brk id="5935" max="16383" man="1"/>
    <brk id="5969" max="16383" man="1"/>
    <brk id="6003" max="16383" man="1"/>
    <brk id="6037" max="16383" man="1"/>
    <brk id="6071" max="16383" man="1"/>
    <brk id="6105" max="16383" man="1"/>
    <brk id="6139" max="16383" man="1"/>
    <brk id="6173" max="16383" man="1"/>
    <brk id="6207" max="16383" man="1"/>
    <brk id="6241" max="16383" man="1"/>
    <brk id="6275" max="16383" man="1"/>
    <brk id="6309" max="16383" man="1"/>
    <brk id="6343" max="16383" man="1"/>
    <brk id="6377" max="16383" man="1"/>
    <brk id="6411" max="16383" man="1"/>
    <brk id="6445" max="16383" man="1"/>
    <brk id="6479" max="16383" man="1"/>
    <brk id="6513" max="16383" man="1"/>
    <brk id="6547" max="16383" man="1"/>
    <brk id="6581" max="16383" man="1"/>
    <brk id="6615" max="16383" man="1"/>
    <brk id="6649" max="16383" man="1"/>
    <brk id="6683" max="16383" man="1"/>
    <brk id="6717" max="16383" man="1"/>
    <brk id="6751" max="16383" man="1"/>
    <brk id="6785" max="16383" man="1"/>
    <brk id="6819" max="16383" man="1"/>
    <brk id="6853" max="16383" man="1"/>
    <brk id="6887" max="16383" man="1"/>
    <brk id="6921" max="16383" man="1"/>
    <brk id="6955" max="16383" man="1"/>
    <brk id="6989" max="16383" man="1"/>
    <brk id="7023" max="16383" man="1"/>
    <brk id="7057" max="16383" man="1"/>
    <brk id="7091" max="16383" man="1"/>
    <brk id="7125" max="16383" man="1"/>
    <brk id="7159" max="16383" man="1"/>
    <brk id="7193" max="16383" man="1"/>
    <brk id="7227" max="16383" man="1"/>
    <brk id="7261" max="16383" man="1"/>
    <brk id="7295" max="16383" man="1"/>
    <brk id="7329" max="16383" man="1"/>
    <brk id="7363" max="16383" man="1"/>
  </rowBreaks>
  <colBreaks count="33" manualBreakCount="33">
    <brk id="21" max="1048575" man="1"/>
    <brk id="31" max="1048575" man="1"/>
    <brk id="39" max="1048575" man="1"/>
    <brk id="46" max="1048575" man="1"/>
    <brk id="53" max="1048575" man="1"/>
    <brk id="60" max="1048575" man="1"/>
    <brk id="67" max="1048575" man="1"/>
    <brk id="74" max="1048575" man="1"/>
    <brk id="81" max="1048575" man="1"/>
    <brk id="88" max="1048575" man="1"/>
    <brk id="95" max="1048575" man="1"/>
    <brk id="102" max="1048575" man="1"/>
    <brk id="109" max="1048575" man="1"/>
    <brk id="116" max="1048575" man="1"/>
    <brk id="123" max="1048575" man="1"/>
    <brk id="130" max="1048575" man="1"/>
    <brk id="137" max="1048575" man="1"/>
    <brk id="144" max="1048575" man="1"/>
    <brk id="151" max="1048575" man="1"/>
    <brk id="158" max="1048575" man="1"/>
    <brk id="165" max="1048575" man="1"/>
    <brk id="172" max="1048575" man="1"/>
    <brk id="179" max="1048575" man="1"/>
    <brk id="186" max="1048575" man="1"/>
    <brk id="193" max="1048575" man="1"/>
    <brk id="200" max="1048575" man="1"/>
    <brk id="207" max="1048575" man="1"/>
    <brk id="214" max="1048575" man="1"/>
    <brk id="221" max="1048575" man="1"/>
    <brk id="228" max="1048575" man="1"/>
    <brk id="235" max="1048575" man="1"/>
    <brk id="242" max="1048575" man="1"/>
    <brk id="2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6"/>
  <sheetViews>
    <sheetView topLeftCell="A153" zoomScale="80" zoomScaleNormal="80" workbookViewId="0">
      <selection activeCell="C168" sqref="C168"/>
    </sheetView>
  </sheetViews>
  <sheetFormatPr defaultRowHeight="15" x14ac:dyDescent="0.25"/>
  <cols>
    <col min="1" max="1" width="11.77734375" style="223" customWidth="1"/>
    <col min="2" max="2" width="8.88671875" style="223"/>
    <col min="3" max="3" width="8.6640625" style="223" customWidth="1"/>
    <col min="4" max="4" width="12.33203125" style="223" customWidth="1"/>
    <col min="5" max="5" width="10" style="223" customWidth="1"/>
    <col min="6" max="6" width="8.6640625" style="223" customWidth="1"/>
    <col min="7" max="7" width="9.33203125" style="223" customWidth="1"/>
    <col min="8" max="8" width="8.88671875" style="223"/>
    <col min="9" max="9" width="11.5546875" style="223" customWidth="1"/>
    <col min="10" max="10" width="10.109375" style="223" customWidth="1"/>
    <col min="11" max="11" width="8.21875" style="223" customWidth="1"/>
    <col min="12" max="13" width="8.88671875" style="223"/>
    <col min="14" max="15" width="9.88671875" style="223" customWidth="1"/>
    <col min="16" max="16" width="8.33203125" style="223" customWidth="1"/>
    <col min="17" max="18" width="8.88671875" style="223"/>
    <col min="19" max="19" width="10.5546875" style="223" customWidth="1"/>
    <col min="20" max="20" width="10.33203125" style="223" customWidth="1"/>
    <col min="21" max="16384" width="8.88671875" style="223"/>
  </cols>
  <sheetData>
    <row r="2" spans="2:20" ht="31.5" customHeight="1" x14ac:dyDescent="0.3">
      <c r="B2" s="356" t="s">
        <v>149</v>
      </c>
      <c r="C2" s="356"/>
      <c r="D2" s="356"/>
      <c r="E2" s="356"/>
      <c r="F2" s="356"/>
      <c r="G2" s="356"/>
      <c r="H2" s="356"/>
      <c r="I2" s="356"/>
      <c r="J2" s="356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5" spans="2:20" ht="25.5" customHeight="1" x14ac:dyDescent="0.25">
      <c r="B5" s="355" t="s">
        <v>150</v>
      </c>
      <c r="C5" s="355"/>
      <c r="D5" s="355"/>
      <c r="E5" s="355"/>
      <c r="G5" s="355" t="s">
        <v>151</v>
      </c>
      <c r="H5" s="355"/>
      <c r="I5" s="355"/>
      <c r="J5" s="355"/>
    </row>
    <row r="6" spans="2:20" ht="15.75" thickBot="1" x14ac:dyDescent="0.3"/>
    <row r="7" spans="2:20" ht="35.25" customHeight="1" thickBot="1" x14ac:dyDescent="0.3">
      <c r="B7" s="224"/>
      <c r="C7" s="225" t="s">
        <v>145</v>
      </c>
      <c r="D7" s="226" t="s">
        <v>146</v>
      </c>
      <c r="E7" s="226" t="s">
        <v>152</v>
      </c>
      <c r="F7" s="227"/>
      <c r="G7" s="225" t="s">
        <v>25</v>
      </c>
      <c r="H7" s="225" t="s">
        <v>153</v>
      </c>
      <c r="I7" s="226" t="s">
        <v>154</v>
      </c>
      <c r="J7" s="226" t="s">
        <v>155</v>
      </c>
    </row>
    <row r="8" spans="2:20" x14ac:dyDescent="0.25">
      <c r="B8" s="228" t="s">
        <v>156</v>
      </c>
      <c r="C8" s="229">
        <v>4</v>
      </c>
      <c r="D8" s="229">
        <v>453</v>
      </c>
      <c r="E8" s="229">
        <f>D8/C8</f>
        <v>113.25</v>
      </c>
      <c r="G8" s="230" t="s">
        <v>156</v>
      </c>
      <c r="H8" s="229">
        <v>11</v>
      </c>
      <c r="I8" s="229">
        <f>165+486+225+278+29</f>
        <v>1183</v>
      </c>
      <c r="J8" s="229">
        <f t="shared" ref="J8:J22" si="0">I8/H8</f>
        <v>107.54545454545455</v>
      </c>
    </row>
    <row r="9" spans="2:20" x14ac:dyDescent="0.25">
      <c r="B9" s="228" t="s">
        <v>157</v>
      </c>
      <c r="C9" s="229">
        <v>3</v>
      </c>
      <c r="D9" s="229">
        <v>269</v>
      </c>
      <c r="E9" s="229">
        <f t="shared" ref="E9:E25" si="1">D9/C9</f>
        <v>89.666666666666671</v>
      </c>
      <c r="G9" s="230" t="s">
        <v>157</v>
      </c>
      <c r="H9" s="229">
        <v>7</v>
      </c>
      <c r="I9" s="229">
        <v>1461</v>
      </c>
      <c r="J9" s="229">
        <f t="shared" si="0"/>
        <v>208.71428571428572</v>
      </c>
    </row>
    <row r="10" spans="2:20" x14ac:dyDescent="0.25">
      <c r="B10" s="228" t="s">
        <v>11</v>
      </c>
      <c r="C10" s="229">
        <v>17</v>
      </c>
      <c r="D10" s="229">
        <v>660</v>
      </c>
      <c r="E10" s="229">
        <f t="shared" si="1"/>
        <v>38.823529411764703</v>
      </c>
      <c r="G10" s="230" t="s">
        <v>11</v>
      </c>
      <c r="H10" s="229">
        <v>6</v>
      </c>
      <c r="I10" s="229">
        <v>1396</v>
      </c>
      <c r="J10" s="229">
        <f t="shared" si="0"/>
        <v>232.66666666666666</v>
      </c>
    </row>
    <row r="11" spans="2:20" x14ac:dyDescent="0.25">
      <c r="B11" s="254" t="s">
        <v>158</v>
      </c>
      <c r="C11" s="255">
        <f>SUM(C8:C10)</f>
        <v>24</v>
      </c>
      <c r="D11" s="255">
        <f>SUM(D8:D10)</f>
        <v>1382</v>
      </c>
      <c r="E11" s="255">
        <f t="shared" si="1"/>
        <v>57.583333333333336</v>
      </c>
      <c r="G11" s="254" t="s">
        <v>158</v>
      </c>
      <c r="H11" s="255">
        <f>SUM(H8:H10)</f>
        <v>24</v>
      </c>
      <c r="I11" s="255">
        <f>SUM(I8:I10)</f>
        <v>4040</v>
      </c>
      <c r="J11" s="255">
        <f t="shared" si="0"/>
        <v>168.33333333333334</v>
      </c>
    </row>
    <row r="12" spans="2:20" x14ac:dyDescent="0.25">
      <c r="B12" s="228" t="s">
        <v>13</v>
      </c>
      <c r="C12" s="229">
        <v>13</v>
      </c>
      <c r="D12" s="229">
        <v>242</v>
      </c>
      <c r="E12" s="229">
        <f t="shared" si="1"/>
        <v>18.615384615384617</v>
      </c>
      <c r="G12" s="230" t="s">
        <v>13</v>
      </c>
      <c r="H12" s="229">
        <v>4</v>
      </c>
      <c r="I12" s="229">
        <v>906</v>
      </c>
      <c r="J12" s="229">
        <f t="shared" si="0"/>
        <v>226.5</v>
      </c>
    </row>
    <row r="13" spans="2:20" x14ac:dyDescent="0.25">
      <c r="B13" s="228" t="s">
        <v>14</v>
      </c>
      <c r="C13" s="229">
        <v>15</v>
      </c>
      <c r="D13" s="229">
        <v>356</v>
      </c>
      <c r="E13" s="229">
        <f t="shared" si="1"/>
        <v>23.733333333333334</v>
      </c>
      <c r="G13" s="230" t="s">
        <v>14</v>
      </c>
      <c r="H13" s="229">
        <v>1</v>
      </c>
      <c r="I13" s="229">
        <f>98+112</f>
        <v>210</v>
      </c>
      <c r="J13" s="229">
        <f t="shared" si="0"/>
        <v>210</v>
      </c>
    </row>
    <row r="14" spans="2:20" x14ac:dyDescent="0.25">
      <c r="B14" s="228" t="s">
        <v>15</v>
      </c>
      <c r="C14" s="229">
        <v>5</v>
      </c>
      <c r="D14" s="229">
        <v>12</v>
      </c>
      <c r="E14" s="229">
        <f t="shared" si="1"/>
        <v>2.4</v>
      </c>
      <c r="G14" s="230" t="s">
        <v>15</v>
      </c>
      <c r="H14" s="229">
        <v>1</v>
      </c>
      <c r="I14" s="229">
        <f>96+105+103+104</f>
        <v>408</v>
      </c>
      <c r="J14" s="229">
        <f t="shared" si="0"/>
        <v>408</v>
      </c>
    </row>
    <row r="15" spans="2:20" x14ac:dyDescent="0.25">
      <c r="B15" s="254" t="s">
        <v>16</v>
      </c>
      <c r="C15" s="255">
        <f>SUM(C12:C14)</f>
        <v>33</v>
      </c>
      <c r="D15" s="255">
        <f>SUM(D12:D14)</f>
        <v>610</v>
      </c>
      <c r="E15" s="255">
        <f>D15/C15</f>
        <v>18.484848484848484</v>
      </c>
      <c r="G15" s="254" t="s">
        <v>16</v>
      </c>
      <c r="H15" s="255">
        <f>SUM(H12:H14)</f>
        <v>6</v>
      </c>
      <c r="I15" s="255">
        <f>SUM(I12:I14)</f>
        <v>1524</v>
      </c>
      <c r="J15" s="255">
        <f>I15/H15</f>
        <v>254</v>
      </c>
    </row>
    <row r="16" spans="2:20" x14ac:dyDescent="0.25">
      <c r="B16" s="228" t="s">
        <v>17</v>
      </c>
      <c r="C16" s="229">
        <v>2</v>
      </c>
      <c r="D16" s="231">
        <v>0</v>
      </c>
      <c r="E16" s="229">
        <f t="shared" si="1"/>
        <v>0</v>
      </c>
      <c r="G16" s="230" t="s">
        <v>17</v>
      </c>
      <c r="H16" s="229">
        <v>0</v>
      </c>
      <c r="I16" s="229">
        <v>0</v>
      </c>
      <c r="J16" s="229">
        <v>0</v>
      </c>
    </row>
    <row r="17" spans="2:14" x14ac:dyDescent="0.25">
      <c r="B17" s="228" t="s">
        <v>18</v>
      </c>
      <c r="C17" s="229">
        <v>7</v>
      </c>
      <c r="D17" s="231">
        <v>107</v>
      </c>
      <c r="E17" s="229">
        <f t="shared" si="1"/>
        <v>15.285714285714286</v>
      </c>
      <c r="G17" s="230" t="s">
        <v>18</v>
      </c>
      <c r="H17" s="229">
        <v>0</v>
      </c>
      <c r="I17" s="229">
        <v>0</v>
      </c>
      <c r="J17" s="229">
        <v>0</v>
      </c>
    </row>
    <row r="18" spans="2:14" x14ac:dyDescent="0.25">
      <c r="B18" s="228" t="s">
        <v>159</v>
      </c>
      <c r="C18" s="229">
        <v>0</v>
      </c>
      <c r="D18" s="231">
        <v>0</v>
      </c>
      <c r="E18" s="229">
        <v>0</v>
      </c>
      <c r="G18" s="230" t="s">
        <v>159</v>
      </c>
      <c r="H18" s="229">
        <v>0</v>
      </c>
      <c r="I18" s="229">
        <v>0</v>
      </c>
      <c r="J18" s="229">
        <v>0</v>
      </c>
    </row>
    <row r="19" spans="2:14" x14ac:dyDescent="0.25">
      <c r="B19" s="254" t="s">
        <v>160</v>
      </c>
      <c r="C19" s="255">
        <f>SUM(C16:C18)</f>
        <v>9</v>
      </c>
      <c r="D19" s="255">
        <f>SUM(D16:D18)</f>
        <v>107</v>
      </c>
      <c r="E19" s="255">
        <f>D19/C19</f>
        <v>11.888888888888889</v>
      </c>
      <c r="G19" s="254" t="s">
        <v>160</v>
      </c>
      <c r="H19" s="255">
        <f>SUM(H16:H18)</f>
        <v>0</v>
      </c>
      <c r="I19" s="255">
        <f>SUM(I16:I18)</f>
        <v>0</v>
      </c>
      <c r="J19" s="255">
        <v>0</v>
      </c>
    </row>
    <row r="20" spans="2:14" x14ac:dyDescent="0.25">
      <c r="B20" s="228" t="s">
        <v>161</v>
      </c>
      <c r="C20" s="229">
        <v>7</v>
      </c>
      <c r="D20" s="231">
        <v>35</v>
      </c>
      <c r="E20" s="229">
        <f t="shared" si="1"/>
        <v>5</v>
      </c>
      <c r="G20" s="230" t="s">
        <v>161</v>
      </c>
      <c r="H20" s="229">
        <v>0</v>
      </c>
      <c r="I20" s="229">
        <v>0</v>
      </c>
      <c r="J20" s="229">
        <v>0</v>
      </c>
    </row>
    <row r="21" spans="2:14" x14ac:dyDescent="0.25">
      <c r="B21" s="228" t="s">
        <v>162</v>
      </c>
      <c r="C21" s="229">
        <v>5</v>
      </c>
      <c r="D21" s="231">
        <v>363</v>
      </c>
      <c r="E21" s="229">
        <f t="shared" si="1"/>
        <v>72.599999999999994</v>
      </c>
      <c r="G21" s="230" t="s">
        <v>162</v>
      </c>
      <c r="H21" s="229">
        <v>1</v>
      </c>
      <c r="I21" s="229">
        <f>126+133</f>
        <v>259</v>
      </c>
      <c r="J21" s="229">
        <f t="shared" si="0"/>
        <v>259</v>
      </c>
    </row>
    <row r="22" spans="2:14" x14ac:dyDescent="0.25">
      <c r="B22" s="228" t="s">
        <v>163</v>
      </c>
      <c r="C22" s="229">
        <v>14</v>
      </c>
      <c r="D22" s="232">
        <v>1374</v>
      </c>
      <c r="E22" s="229">
        <f t="shared" si="1"/>
        <v>98.142857142857139</v>
      </c>
      <c r="G22" s="230" t="s">
        <v>163</v>
      </c>
      <c r="H22" s="229">
        <v>3</v>
      </c>
      <c r="I22" s="229">
        <v>560</v>
      </c>
      <c r="J22" s="229">
        <f t="shared" si="0"/>
        <v>186.66666666666666</v>
      </c>
    </row>
    <row r="23" spans="2:14" ht="15.75" thickBot="1" x14ac:dyDescent="0.3">
      <c r="B23" s="254" t="s">
        <v>164</v>
      </c>
      <c r="C23" s="255">
        <f>SUM(C20:C22)</f>
        <v>26</v>
      </c>
      <c r="D23" s="255">
        <f>SUM(D20:D22)</f>
        <v>1772</v>
      </c>
      <c r="E23" s="255">
        <f>D23/C23</f>
        <v>68.15384615384616</v>
      </c>
      <c r="G23" s="254" t="s">
        <v>164</v>
      </c>
      <c r="H23" s="255">
        <f>SUM(H20:H22)</f>
        <v>4</v>
      </c>
      <c r="I23" s="255">
        <f>SUM(I20:I22)</f>
        <v>819</v>
      </c>
      <c r="J23" s="255">
        <f>I23/H23</f>
        <v>204.75</v>
      </c>
    </row>
    <row r="24" spans="2:14" ht="15.75" thickBot="1" x14ac:dyDescent="0.3">
      <c r="B24" s="233" t="s">
        <v>7</v>
      </c>
      <c r="C24" s="225">
        <f>C11+C15+C19+C23</f>
        <v>92</v>
      </c>
      <c r="D24" s="234">
        <v>3871</v>
      </c>
      <c r="E24" s="225">
        <f>E23+E19+E15+E11</f>
        <v>156.11091686091686</v>
      </c>
      <c r="F24" s="235"/>
      <c r="G24" s="236" t="s">
        <v>7</v>
      </c>
      <c r="H24" s="225">
        <f>H23+H19+H15+H11</f>
        <v>34</v>
      </c>
      <c r="I24" s="225">
        <f>I11+I15+I19+I23</f>
        <v>6383</v>
      </c>
      <c r="J24" s="225">
        <f>J23+J19+J15+J11</f>
        <v>627.08333333333337</v>
      </c>
    </row>
    <row r="25" spans="2:14" ht="15.75" thickBot="1" x14ac:dyDescent="0.3">
      <c r="B25" s="237" t="s">
        <v>165</v>
      </c>
      <c r="C25" s="225">
        <f>C24/12</f>
        <v>7.666666666666667</v>
      </c>
      <c r="D25" s="238">
        <f>D24/12</f>
        <v>322.58333333333331</v>
      </c>
      <c r="E25" s="225">
        <f t="shared" si="1"/>
        <v>42.076086956521735</v>
      </c>
      <c r="F25" s="239"/>
      <c r="G25" s="237" t="s">
        <v>165</v>
      </c>
      <c r="H25" s="225">
        <f>H24/12</f>
        <v>2.8333333333333335</v>
      </c>
      <c r="I25" s="238">
        <f>I24/12</f>
        <v>531.91666666666663</v>
      </c>
      <c r="J25" s="225">
        <f>I25/H25</f>
        <v>187.73529411764704</v>
      </c>
    </row>
    <row r="26" spans="2:14" x14ac:dyDescent="0.25">
      <c r="B26" s="1"/>
      <c r="G26" s="357"/>
      <c r="H26" s="357"/>
      <c r="I26" s="357"/>
      <c r="L26" s="357"/>
      <c r="M26" s="357"/>
      <c r="N26" s="357"/>
    </row>
    <row r="28" spans="2:14" ht="21.75" customHeight="1" x14ac:dyDescent="0.25">
      <c r="B28" s="355" t="s">
        <v>166</v>
      </c>
      <c r="C28" s="355"/>
      <c r="D28" s="355"/>
      <c r="E28" s="355"/>
      <c r="G28" s="355" t="s">
        <v>167</v>
      </c>
      <c r="H28" s="355"/>
      <c r="I28" s="355"/>
      <c r="J28" s="355"/>
    </row>
    <row r="29" spans="2:14" ht="15.75" thickBot="1" x14ac:dyDescent="0.3"/>
    <row r="30" spans="2:14" ht="30" thickBot="1" x14ac:dyDescent="0.3">
      <c r="B30" s="225" t="s">
        <v>25</v>
      </c>
      <c r="C30" s="225" t="s">
        <v>153</v>
      </c>
      <c r="D30" s="226" t="s">
        <v>154</v>
      </c>
      <c r="E30" s="226" t="s">
        <v>155</v>
      </c>
      <c r="G30" s="225" t="s">
        <v>25</v>
      </c>
      <c r="H30" s="225" t="s">
        <v>153</v>
      </c>
      <c r="I30" s="226" t="s">
        <v>154</v>
      </c>
      <c r="J30" s="226" t="s">
        <v>155</v>
      </c>
    </row>
    <row r="31" spans="2:14" x14ac:dyDescent="0.25">
      <c r="B31" s="228" t="s">
        <v>156</v>
      </c>
      <c r="C31" s="229">
        <v>6</v>
      </c>
      <c r="D31" s="229">
        <f>293+343+45+144+237+98+55+109+92+124</f>
        <v>1540</v>
      </c>
      <c r="E31" s="229">
        <f>D31/C31</f>
        <v>256.66666666666669</v>
      </c>
      <c r="G31" s="228" t="s">
        <v>156</v>
      </c>
      <c r="H31" s="229">
        <v>5</v>
      </c>
      <c r="I31" s="229">
        <f>87+872+97+57+90+156+98+35+138</f>
        <v>1630</v>
      </c>
      <c r="J31" s="229">
        <f>I31/H31</f>
        <v>326</v>
      </c>
    </row>
    <row r="32" spans="2:14" x14ac:dyDescent="0.25">
      <c r="B32" s="228" t="s">
        <v>157</v>
      </c>
      <c r="C32" s="229">
        <v>5</v>
      </c>
      <c r="D32" s="229">
        <f>22+244+89+101+94+135+52+80+122</f>
        <v>939</v>
      </c>
      <c r="E32" s="229">
        <f>D32/C32</f>
        <v>187.8</v>
      </c>
      <c r="G32" s="228" t="s">
        <v>157</v>
      </c>
      <c r="H32" s="229">
        <v>6</v>
      </c>
      <c r="I32" s="229">
        <f>82+96+242+85+138+107+45+132</f>
        <v>927</v>
      </c>
      <c r="J32" s="229">
        <f>I32/H32</f>
        <v>154.5</v>
      </c>
    </row>
    <row r="33" spans="2:10" x14ac:dyDescent="0.25">
      <c r="B33" s="228" t="s">
        <v>11</v>
      </c>
      <c r="C33" s="229">
        <v>7</v>
      </c>
      <c r="D33" s="229">
        <f>225+40+56+135+49+47+201+116+107</f>
        <v>976</v>
      </c>
      <c r="E33" s="229">
        <f>D33/C33</f>
        <v>139.42857142857142</v>
      </c>
      <c r="G33" s="228" t="s">
        <v>11</v>
      </c>
      <c r="H33" s="229">
        <v>7</v>
      </c>
      <c r="I33" s="229">
        <f>314+34+132+104+124+91+97+55+144+46</f>
        <v>1141</v>
      </c>
      <c r="J33" s="229">
        <f>I33/H33</f>
        <v>163</v>
      </c>
    </row>
    <row r="34" spans="2:10" x14ac:dyDescent="0.25">
      <c r="B34" s="254" t="s">
        <v>158</v>
      </c>
      <c r="C34" s="255">
        <f>SUM(C31:C33)</f>
        <v>18</v>
      </c>
      <c r="D34" s="255">
        <f>SUM(D31:D33)</f>
        <v>3455</v>
      </c>
      <c r="E34" s="255">
        <f>D34/C34</f>
        <v>191.94444444444446</v>
      </c>
      <c r="G34" s="254" t="s">
        <v>158</v>
      </c>
      <c r="H34" s="255">
        <f>SUM(H31:H33)</f>
        <v>18</v>
      </c>
      <c r="I34" s="255">
        <f>SUM(I31:I33)</f>
        <v>3698</v>
      </c>
      <c r="J34" s="255">
        <f>+I34/H34</f>
        <v>205.44444444444446</v>
      </c>
    </row>
    <row r="35" spans="2:10" x14ac:dyDescent="0.25">
      <c r="B35" s="228" t="s">
        <v>13</v>
      </c>
      <c r="C35" s="229">
        <v>0</v>
      </c>
      <c r="D35" s="229">
        <v>0</v>
      </c>
      <c r="E35" s="229">
        <v>0</v>
      </c>
      <c r="G35" s="228" t="s">
        <v>13</v>
      </c>
      <c r="H35" s="229">
        <v>4</v>
      </c>
      <c r="I35" s="229">
        <f>72+87+109+60+87</f>
        <v>415</v>
      </c>
      <c r="J35" s="229">
        <f>I35/H35</f>
        <v>103.75</v>
      </c>
    </row>
    <row r="36" spans="2:10" x14ac:dyDescent="0.25">
      <c r="B36" s="228" t="s">
        <v>14</v>
      </c>
      <c r="C36" s="229">
        <v>0</v>
      </c>
      <c r="D36" s="229">
        <v>0</v>
      </c>
      <c r="E36" s="229">
        <v>0</v>
      </c>
      <c r="G36" s="228" t="s">
        <v>14</v>
      </c>
      <c r="H36" s="229">
        <v>2</v>
      </c>
      <c r="I36" s="229">
        <f>87+100+68</f>
        <v>255</v>
      </c>
      <c r="J36" s="229">
        <f>I36/H36</f>
        <v>127.5</v>
      </c>
    </row>
    <row r="37" spans="2:10" x14ac:dyDescent="0.25">
      <c r="B37" s="228" t="s">
        <v>15</v>
      </c>
      <c r="C37" s="229">
        <v>0</v>
      </c>
      <c r="D37" s="229">
        <v>0</v>
      </c>
      <c r="E37" s="229">
        <v>0</v>
      </c>
      <c r="G37" s="228" t="s">
        <v>15</v>
      </c>
      <c r="H37" s="229">
        <v>0</v>
      </c>
      <c r="I37" s="229">
        <v>0</v>
      </c>
      <c r="J37" s="229">
        <v>0</v>
      </c>
    </row>
    <row r="38" spans="2:10" x14ac:dyDescent="0.25">
      <c r="B38" s="254" t="s">
        <v>16</v>
      </c>
      <c r="C38" s="255">
        <f>SUM(C35:C37)</f>
        <v>0</v>
      </c>
      <c r="D38" s="255">
        <f>SUM(D35:D37)</f>
        <v>0</v>
      </c>
      <c r="E38" s="255"/>
      <c r="G38" s="254" t="s">
        <v>16</v>
      </c>
      <c r="H38" s="255">
        <f>SUM(H35:H37)</f>
        <v>6</v>
      </c>
      <c r="I38" s="255">
        <f>SUM(I35:I37)</f>
        <v>670</v>
      </c>
      <c r="J38" s="255">
        <f>+I38/H38</f>
        <v>111.66666666666667</v>
      </c>
    </row>
    <row r="39" spans="2:10" x14ac:dyDescent="0.25">
      <c r="B39" s="228" t="s">
        <v>17</v>
      </c>
      <c r="C39" s="229">
        <v>0</v>
      </c>
      <c r="D39" s="231">
        <v>0</v>
      </c>
      <c r="E39" s="229">
        <v>0</v>
      </c>
      <c r="G39" s="228" t="s">
        <v>17</v>
      </c>
      <c r="H39" s="229">
        <v>0</v>
      </c>
      <c r="I39" s="231">
        <v>0</v>
      </c>
      <c r="J39" s="229">
        <v>0</v>
      </c>
    </row>
    <row r="40" spans="2:10" x14ac:dyDescent="0.25">
      <c r="B40" s="228" t="s">
        <v>18</v>
      </c>
      <c r="C40" s="229">
        <v>0</v>
      </c>
      <c r="D40" s="231">
        <v>0</v>
      </c>
      <c r="E40" s="229">
        <v>0</v>
      </c>
      <c r="G40" s="228" t="s">
        <v>18</v>
      </c>
      <c r="H40" s="229">
        <v>1</v>
      </c>
      <c r="I40" s="231">
        <v>68</v>
      </c>
      <c r="J40" s="229">
        <f>I40/H40</f>
        <v>68</v>
      </c>
    </row>
    <row r="41" spans="2:10" x14ac:dyDescent="0.25">
      <c r="B41" s="228" t="s">
        <v>159</v>
      </c>
      <c r="C41" s="229">
        <v>2</v>
      </c>
      <c r="D41" s="231">
        <f>43+45+23+27</f>
        <v>138</v>
      </c>
      <c r="E41" s="229">
        <f>D41/C41</f>
        <v>69</v>
      </c>
      <c r="G41" s="228" t="s">
        <v>159</v>
      </c>
      <c r="H41" s="229"/>
      <c r="I41" s="231"/>
      <c r="J41" s="229"/>
    </row>
    <row r="42" spans="2:10" x14ac:dyDescent="0.25">
      <c r="B42" s="254" t="s">
        <v>160</v>
      </c>
      <c r="C42" s="255">
        <f>SUM(C39:C41)</f>
        <v>2</v>
      </c>
      <c r="D42" s="255">
        <f>SUM(D39:D41)</f>
        <v>138</v>
      </c>
      <c r="E42" s="255">
        <f>D42/C42</f>
        <v>69</v>
      </c>
      <c r="G42" s="254" t="s">
        <v>160</v>
      </c>
      <c r="H42" s="255">
        <f>SUM(H39:H41)</f>
        <v>1</v>
      </c>
      <c r="I42" s="255">
        <f>SUM(I39:I41)</f>
        <v>68</v>
      </c>
      <c r="J42" s="255">
        <f>SUM(J39:J41)</f>
        <v>68</v>
      </c>
    </row>
    <row r="43" spans="2:10" x14ac:dyDescent="0.25">
      <c r="B43" s="228" t="s">
        <v>161</v>
      </c>
      <c r="C43" s="229">
        <v>0</v>
      </c>
      <c r="D43" s="231">
        <v>0</v>
      </c>
      <c r="E43" s="229">
        <v>0</v>
      </c>
      <c r="G43" s="228" t="s">
        <v>161</v>
      </c>
      <c r="H43" s="229"/>
      <c r="I43" s="231"/>
      <c r="J43" s="229"/>
    </row>
    <row r="44" spans="2:10" x14ac:dyDescent="0.25">
      <c r="B44" s="228" t="s">
        <v>162</v>
      </c>
      <c r="C44" s="229">
        <v>0</v>
      </c>
      <c r="D44" s="231">
        <v>0</v>
      </c>
      <c r="E44" s="229">
        <v>0</v>
      </c>
      <c r="G44" s="228" t="s">
        <v>162</v>
      </c>
      <c r="H44" s="229"/>
      <c r="I44" s="231"/>
      <c r="J44" s="229"/>
    </row>
    <row r="45" spans="2:10" x14ac:dyDescent="0.25">
      <c r="B45" s="228" t="s">
        <v>163</v>
      </c>
      <c r="C45" s="229">
        <v>6</v>
      </c>
      <c r="D45" s="232">
        <f>83+136+239+91+84+239+91+86+47+326+141+108+93</f>
        <v>1764</v>
      </c>
      <c r="E45" s="229">
        <f>D45/C45</f>
        <v>294</v>
      </c>
      <c r="G45" s="228" t="s">
        <v>163</v>
      </c>
      <c r="H45" s="229"/>
      <c r="I45" s="232"/>
      <c r="J45" s="229"/>
    </row>
    <row r="46" spans="2:10" ht="15.75" thickBot="1" x14ac:dyDescent="0.3">
      <c r="B46" s="254" t="s">
        <v>164</v>
      </c>
      <c r="C46" s="255">
        <f>SUM(C43:C45)</f>
        <v>6</v>
      </c>
      <c r="D46" s="255">
        <f>SUM(D43:D45)</f>
        <v>1764</v>
      </c>
      <c r="E46" s="255">
        <f>SUM(E43:E45)</f>
        <v>294</v>
      </c>
      <c r="G46" s="254" t="s">
        <v>164</v>
      </c>
      <c r="H46" s="255">
        <f>SUM(H43:H45)</f>
        <v>0</v>
      </c>
      <c r="I46" s="255">
        <f>SUM(I43:I45)</f>
        <v>0</v>
      </c>
      <c r="J46" s="255">
        <f>SUM(J43:J45)</f>
        <v>0</v>
      </c>
    </row>
    <row r="47" spans="2:10" ht="15.75" thickBot="1" x14ac:dyDescent="0.3">
      <c r="B47" s="236" t="s">
        <v>7</v>
      </c>
      <c r="C47" s="225">
        <f>C34+C38+C42+C46</f>
        <v>26</v>
      </c>
      <c r="D47" s="225">
        <f>D34+D38+D42+D46</f>
        <v>5357</v>
      </c>
      <c r="E47" s="225">
        <f>E34+E38+E42+E46</f>
        <v>554.94444444444446</v>
      </c>
      <c r="G47" s="236" t="s">
        <v>7</v>
      </c>
      <c r="H47" s="225">
        <f>H34+H38+H42+H46</f>
        <v>25</v>
      </c>
      <c r="I47" s="225">
        <f>I34+I38+I42+I46</f>
        <v>4436</v>
      </c>
      <c r="J47" s="225">
        <f>J34+J38+J42+J46</f>
        <v>385.11111111111114</v>
      </c>
    </row>
    <row r="48" spans="2:10" ht="15.75" thickBot="1" x14ac:dyDescent="0.3">
      <c r="B48" s="237" t="s">
        <v>165</v>
      </c>
      <c r="C48" s="225">
        <f>C47/12</f>
        <v>2.1666666666666665</v>
      </c>
      <c r="D48" s="238">
        <f>D47/12</f>
        <v>446.41666666666669</v>
      </c>
      <c r="E48" s="225">
        <f>D48/C48</f>
        <v>206.03846153846155</v>
      </c>
      <c r="G48" s="237" t="s">
        <v>165</v>
      </c>
      <c r="H48" s="225">
        <f>H47/12</f>
        <v>2.0833333333333335</v>
      </c>
      <c r="I48" s="238">
        <f>I47/12</f>
        <v>369.66666666666669</v>
      </c>
      <c r="J48" s="225">
        <f>I48/H48</f>
        <v>177.44</v>
      </c>
    </row>
    <row r="51" spans="2:10" x14ac:dyDescent="0.25">
      <c r="B51" s="355" t="s">
        <v>168</v>
      </c>
      <c r="C51" s="355"/>
      <c r="D51" s="355"/>
      <c r="E51" s="355"/>
      <c r="G51" s="355" t="s">
        <v>169</v>
      </c>
      <c r="H51" s="355"/>
      <c r="I51" s="355"/>
      <c r="J51" s="355"/>
    </row>
    <row r="52" spans="2:10" ht="15.75" thickBot="1" x14ac:dyDescent="0.3"/>
    <row r="53" spans="2:10" ht="30" thickBot="1" x14ac:dyDescent="0.3">
      <c r="B53" s="225" t="s">
        <v>25</v>
      </c>
      <c r="C53" s="225" t="s">
        <v>153</v>
      </c>
      <c r="D53" s="226" t="s">
        <v>154</v>
      </c>
      <c r="E53" s="226" t="s">
        <v>155</v>
      </c>
      <c r="G53" s="225" t="s">
        <v>25</v>
      </c>
      <c r="H53" s="225" t="s">
        <v>153</v>
      </c>
      <c r="I53" s="226" t="s">
        <v>154</v>
      </c>
      <c r="J53" s="226" t="s">
        <v>155</v>
      </c>
    </row>
    <row r="54" spans="2:10" x14ac:dyDescent="0.25">
      <c r="B54" s="228" t="s">
        <v>156</v>
      </c>
      <c r="C54" s="229"/>
      <c r="D54" s="229"/>
      <c r="E54" s="229" t="e">
        <f>D54/C54</f>
        <v>#DIV/0!</v>
      </c>
      <c r="G54" s="228" t="s">
        <v>156</v>
      </c>
      <c r="H54" s="229"/>
      <c r="I54" s="229"/>
      <c r="J54" s="229" t="e">
        <f>I54/H54</f>
        <v>#DIV/0!</v>
      </c>
    </row>
    <row r="55" spans="2:10" x14ac:dyDescent="0.25">
      <c r="B55" s="228" t="s">
        <v>157</v>
      </c>
      <c r="C55" s="229"/>
      <c r="D55" s="229"/>
      <c r="E55" s="229" t="e">
        <f>D55/C55</f>
        <v>#DIV/0!</v>
      </c>
      <c r="G55" s="228" t="s">
        <v>157</v>
      </c>
      <c r="H55" s="229"/>
      <c r="I55" s="229"/>
      <c r="J55" s="229" t="e">
        <f>I55/H55</f>
        <v>#DIV/0!</v>
      </c>
    </row>
    <row r="56" spans="2:10" x14ac:dyDescent="0.25">
      <c r="B56" s="228" t="s">
        <v>11</v>
      </c>
      <c r="C56" s="229"/>
      <c r="D56" s="229"/>
      <c r="E56" s="229" t="e">
        <f>D56/C56</f>
        <v>#DIV/0!</v>
      </c>
      <c r="G56" s="228" t="s">
        <v>11</v>
      </c>
      <c r="H56" s="229"/>
      <c r="I56" s="229"/>
      <c r="J56" s="229" t="e">
        <f>I56/H56</f>
        <v>#DIV/0!</v>
      </c>
    </row>
    <row r="57" spans="2:10" x14ac:dyDescent="0.25">
      <c r="B57" s="254" t="s">
        <v>158</v>
      </c>
      <c r="C57" s="255">
        <f>SUM(C54:C56)</f>
        <v>0</v>
      </c>
      <c r="D57" s="255">
        <f>SUM(D54:D56)</f>
        <v>0</v>
      </c>
      <c r="E57" s="255" t="e">
        <f>+D57/C57</f>
        <v>#DIV/0!</v>
      </c>
      <c r="G57" s="254" t="s">
        <v>158</v>
      </c>
      <c r="H57" s="255">
        <f>SUM(H54:H56)</f>
        <v>0</v>
      </c>
      <c r="I57" s="255">
        <f>SUM(I54:I56)</f>
        <v>0</v>
      </c>
      <c r="J57" s="255" t="e">
        <f>+I57/H57</f>
        <v>#DIV/0!</v>
      </c>
    </row>
    <row r="58" spans="2:10" x14ac:dyDescent="0.25">
      <c r="B58" s="228" t="s">
        <v>13</v>
      </c>
      <c r="C58" s="229"/>
      <c r="D58" s="229"/>
      <c r="E58" s="229" t="e">
        <f>D58/C58</f>
        <v>#DIV/0!</v>
      </c>
      <c r="G58" s="228" t="s">
        <v>13</v>
      </c>
      <c r="H58" s="229"/>
      <c r="I58" s="229"/>
      <c r="J58" s="229" t="e">
        <f>I58/H58</f>
        <v>#DIV/0!</v>
      </c>
    </row>
    <row r="59" spans="2:10" x14ac:dyDescent="0.25">
      <c r="B59" s="228" t="s">
        <v>14</v>
      </c>
      <c r="C59" s="229"/>
      <c r="D59" s="229"/>
      <c r="E59" s="229" t="e">
        <f>D59/C59</f>
        <v>#DIV/0!</v>
      </c>
      <c r="G59" s="228" t="s">
        <v>14</v>
      </c>
      <c r="H59" s="229"/>
      <c r="I59" s="229"/>
      <c r="J59" s="229" t="e">
        <f>I59/H59</f>
        <v>#DIV/0!</v>
      </c>
    </row>
    <row r="60" spans="2:10" x14ac:dyDescent="0.25">
      <c r="B60" s="228" t="s">
        <v>15</v>
      </c>
      <c r="C60" s="229"/>
      <c r="D60" s="229"/>
      <c r="E60" s="229">
        <v>0</v>
      </c>
      <c r="G60" s="228" t="s">
        <v>15</v>
      </c>
      <c r="H60" s="229"/>
      <c r="I60" s="229"/>
      <c r="J60" s="229">
        <v>0</v>
      </c>
    </row>
    <row r="61" spans="2:10" x14ac:dyDescent="0.25">
      <c r="B61" s="254" t="s">
        <v>16</v>
      </c>
      <c r="C61" s="255">
        <f>SUM(C58:C60)</f>
        <v>0</v>
      </c>
      <c r="D61" s="255">
        <f>SUM(D58:D60)</f>
        <v>0</v>
      </c>
      <c r="E61" s="255" t="e">
        <f>+D61/C61</f>
        <v>#DIV/0!</v>
      </c>
      <c r="G61" s="254" t="s">
        <v>16</v>
      </c>
      <c r="H61" s="255">
        <f>SUM(H58:H60)</f>
        <v>0</v>
      </c>
      <c r="I61" s="255">
        <f>SUM(I58:I60)</f>
        <v>0</v>
      </c>
      <c r="J61" s="255" t="e">
        <f>+I61/H61</f>
        <v>#DIV/0!</v>
      </c>
    </row>
    <row r="62" spans="2:10" x14ac:dyDescent="0.25">
      <c r="B62" s="228" t="s">
        <v>17</v>
      </c>
      <c r="C62" s="229"/>
      <c r="D62" s="231"/>
      <c r="E62" s="229">
        <v>0</v>
      </c>
      <c r="G62" s="228" t="s">
        <v>17</v>
      </c>
      <c r="H62" s="229"/>
      <c r="I62" s="231"/>
      <c r="J62" s="229">
        <v>0</v>
      </c>
    </row>
    <row r="63" spans="2:10" x14ac:dyDescent="0.25">
      <c r="B63" s="228" t="s">
        <v>18</v>
      </c>
      <c r="C63" s="229"/>
      <c r="D63" s="231"/>
      <c r="E63" s="229" t="e">
        <f>D63/C63</f>
        <v>#DIV/0!</v>
      </c>
      <c r="G63" s="228" t="s">
        <v>18</v>
      </c>
      <c r="H63" s="229"/>
      <c r="I63" s="231"/>
      <c r="J63" s="229" t="e">
        <f>I63/H63</f>
        <v>#DIV/0!</v>
      </c>
    </row>
    <row r="64" spans="2:10" x14ac:dyDescent="0.25">
      <c r="B64" s="228" t="s">
        <v>159</v>
      </c>
      <c r="C64" s="229"/>
      <c r="D64" s="231"/>
      <c r="E64" s="229"/>
      <c r="G64" s="228" t="s">
        <v>159</v>
      </c>
      <c r="H64" s="229"/>
      <c r="I64" s="231"/>
      <c r="J64" s="229"/>
    </row>
    <row r="65" spans="2:10" x14ac:dyDescent="0.25">
      <c r="B65" s="254" t="s">
        <v>160</v>
      </c>
      <c r="C65" s="255">
        <f>SUM(C62:C64)</f>
        <v>0</v>
      </c>
      <c r="D65" s="255">
        <f>SUM(D62:D64)</f>
        <v>0</v>
      </c>
      <c r="E65" s="255" t="e">
        <f>SUM(E62:E64)</f>
        <v>#DIV/0!</v>
      </c>
      <c r="G65" s="254" t="s">
        <v>160</v>
      </c>
      <c r="H65" s="255">
        <f>SUM(H62:H64)</f>
        <v>0</v>
      </c>
      <c r="I65" s="255">
        <f>SUM(I62:I64)</f>
        <v>0</v>
      </c>
      <c r="J65" s="255" t="e">
        <f>SUM(J62:J64)</f>
        <v>#DIV/0!</v>
      </c>
    </row>
    <row r="66" spans="2:10" x14ac:dyDescent="0.25">
      <c r="B66" s="228" t="s">
        <v>161</v>
      </c>
      <c r="C66" s="229"/>
      <c r="D66" s="231"/>
      <c r="E66" s="229"/>
      <c r="G66" s="228" t="s">
        <v>161</v>
      </c>
      <c r="H66" s="229"/>
      <c r="I66" s="231"/>
      <c r="J66" s="229"/>
    </row>
    <row r="67" spans="2:10" x14ac:dyDescent="0.25">
      <c r="B67" s="228" t="s">
        <v>162</v>
      </c>
      <c r="C67" s="229"/>
      <c r="D67" s="231"/>
      <c r="E67" s="229"/>
      <c r="G67" s="228" t="s">
        <v>162</v>
      </c>
      <c r="H67" s="229">
        <v>1</v>
      </c>
      <c r="I67" s="231">
        <v>131</v>
      </c>
      <c r="J67" s="229">
        <f>I67/H67</f>
        <v>131</v>
      </c>
    </row>
    <row r="68" spans="2:10" x14ac:dyDescent="0.25">
      <c r="B68" s="228" t="s">
        <v>163</v>
      </c>
      <c r="C68" s="229"/>
      <c r="D68" s="232"/>
      <c r="E68" s="229"/>
      <c r="G68" s="228" t="s">
        <v>163</v>
      </c>
      <c r="H68" s="229">
        <v>1</v>
      </c>
      <c r="I68" s="232">
        <v>354</v>
      </c>
      <c r="J68" s="229">
        <f>I68/H68</f>
        <v>354</v>
      </c>
    </row>
    <row r="69" spans="2:10" ht="15.75" thickBot="1" x14ac:dyDescent="0.3">
      <c r="B69" s="254" t="s">
        <v>164</v>
      </c>
      <c r="C69" s="255">
        <f>SUM(C66:C68)</f>
        <v>0</v>
      </c>
      <c r="D69" s="255">
        <f>SUM(D66:D68)</f>
        <v>0</v>
      </c>
      <c r="E69" s="255">
        <f>SUM(E66:E68)</f>
        <v>0</v>
      </c>
      <c r="G69" s="254" t="s">
        <v>164</v>
      </c>
      <c r="H69" s="255">
        <f>SUM(H66:H68)</f>
        <v>2</v>
      </c>
      <c r="I69" s="255">
        <f>SUM(I66:I68)</f>
        <v>485</v>
      </c>
      <c r="J69" s="255">
        <f>SUM(J66:J68)</f>
        <v>485</v>
      </c>
    </row>
    <row r="70" spans="2:10" ht="15.75" thickBot="1" x14ac:dyDescent="0.3">
      <c r="B70" s="236" t="s">
        <v>7</v>
      </c>
      <c r="C70" s="225">
        <f>C57+C61+C65+C69</f>
        <v>0</v>
      </c>
      <c r="D70" s="225">
        <f>D57+D61+D65+D69</f>
        <v>0</v>
      </c>
      <c r="E70" s="225" t="e">
        <f>E57+E61+E65+E69</f>
        <v>#DIV/0!</v>
      </c>
      <c r="G70" s="236" t="s">
        <v>7</v>
      </c>
      <c r="H70" s="225">
        <f>H57+H61+H65+H69</f>
        <v>2</v>
      </c>
      <c r="I70" s="225">
        <f>I57+I61+I65+I69</f>
        <v>485</v>
      </c>
      <c r="J70" s="225" t="e">
        <f>J57+J61+J65+J69</f>
        <v>#DIV/0!</v>
      </c>
    </row>
    <row r="71" spans="2:10" ht="15.75" thickBot="1" x14ac:dyDescent="0.3">
      <c r="B71" s="237" t="s">
        <v>165</v>
      </c>
      <c r="C71" s="225">
        <f>C70/12</f>
        <v>0</v>
      </c>
      <c r="D71" s="238">
        <f>D70/12</f>
        <v>0</v>
      </c>
      <c r="E71" s="225" t="e">
        <f>D71/C71</f>
        <v>#DIV/0!</v>
      </c>
      <c r="G71" s="237" t="s">
        <v>165</v>
      </c>
      <c r="H71" s="225">
        <f>H70/12</f>
        <v>0.16666666666666666</v>
      </c>
      <c r="I71" s="238">
        <f>I70/12</f>
        <v>40.416666666666664</v>
      </c>
      <c r="J71" s="225">
        <f>I71/H71</f>
        <v>242.5</v>
      </c>
    </row>
    <row r="74" spans="2:10" x14ac:dyDescent="0.25">
      <c r="B74" s="355" t="s">
        <v>170</v>
      </c>
      <c r="C74" s="355"/>
      <c r="D74" s="355"/>
      <c r="E74" s="355"/>
      <c r="G74" s="355" t="s">
        <v>171</v>
      </c>
      <c r="H74" s="355"/>
      <c r="I74" s="355"/>
      <c r="J74" s="355"/>
    </row>
    <row r="75" spans="2:10" ht="15.75" thickBot="1" x14ac:dyDescent="0.3"/>
    <row r="76" spans="2:10" ht="30" thickBot="1" x14ac:dyDescent="0.3">
      <c r="B76" s="225" t="s">
        <v>25</v>
      </c>
      <c r="C76" s="225" t="s">
        <v>153</v>
      </c>
      <c r="D76" s="226" t="s">
        <v>154</v>
      </c>
      <c r="E76" s="226" t="s">
        <v>155</v>
      </c>
      <c r="G76" s="225" t="s">
        <v>25</v>
      </c>
      <c r="H76" s="225" t="s">
        <v>153</v>
      </c>
      <c r="I76" s="226" t="s">
        <v>154</v>
      </c>
      <c r="J76" s="226" t="s">
        <v>155</v>
      </c>
    </row>
    <row r="77" spans="2:10" x14ac:dyDescent="0.25">
      <c r="B77" s="228" t="s">
        <v>156</v>
      </c>
      <c r="C77" s="229">
        <v>6</v>
      </c>
      <c r="D77" s="229">
        <v>550</v>
      </c>
      <c r="E77" s="229">
        <f>D77/C77</f>
        <v>91.666666666666671</v>
      </c>
      <c r="G77" s="228" t="s">
        <v>156</v>
      </c>
      <c r="H77" s="229">
        <v>2</v>
      </c>
      <c r="I77" s="229">
        <v>126</v>
      </c>
      <c r="J77" s="229">
        <f>I77/H77</f>
        <v>63</v>
      </c>
    </row>
    <row r="78" spans="2:10" x14ac:dyDescent="0.25">
      <c r="B78" s="228" t="s">
        <v>157</v>
      </c>
      <c r="C78" s="229">
        <v>3</v>
      </c>
      <c r="D78" s="229">
        <v>578</v>
      </c>
      <c r="E78" s="229">
        <f>D78/C78</f>
        <v>192.66666666666666</v>
      </c>
      <c r="G78" s="228" t="s">
        <v>157</v>
      </c>
      <c r="H78" s="229">
        <v>7</v>
      </c>
      <c r="I78" s="229">
        <v>633</v>
      </c>
      <c r="J78" s="229">
        <f>I78/H78</f>
        <v>90.428571428571431</v>
      </c>
    </row>
    <row r="79" spans="2:10" x14ac:dyDescent="0.25">
      <c r="B79" s="228" t="s">
        <v>11</v>
      </c>
      <c r="C79" s="229">
        <v>3</v>
      </c>
      <c r="D79" s="229">
        <v>348</v>
      </c>
      <c r="E79" s="229">
        <f>D79/C79</f>
        <v>116</v>
      </c>
      <c r="G79" s="228" t="s">
        <v>11</v>
      </c>
      <c r="H79" s="229">
        <v>3</v>
      </c>
      <c r="I79" s="229">
        <v>298</v>
      </c>
      <c r="J79" s="229">
        <f>I79/H79</f>
        <v>99.333333333333329</v>
      </c>
    </row>
    <row r="80" spans="2:10" x14ac:dyDescent="0.25">
      <c r="B80" s="254" t="s">
        <v>158</v>
      </c>
      <c r="C80" s="255">
        <f>SUM(C77:C79)</f>
        <v>12</v>
      </c>
      <c r="D80" s="255">
        <f>SUM(D77:D79)</f>
        <v>1476</v>
      </c>
      <c r="E80" s="255">
        <f>+D80/C80</f>
        <v>123</v>
      </c>
      <c r="G80" s="254" t="s">
        <v>158</v>
      </c>
      <c r="H80" s="255">
        <f>SUM(H77:H79)</f>
        <v>12</v>
      </c>
      <c r="I80" s="255">
        <f>SUM(I77:I79)</f>
        <v>1057</v>
      </c>
      <c r="J80" s="255">
        <f>+I80/H80</f>
        <v>88.083333333333329</v>
      </c>
    </row>
    <row r="81" spans="2:10" x14ac:dyDescent="0.25">
      <c r="B81" s="228" t="s">
        <v>13</v>
      </c>
      <c r="C81" s="229">
        <v>3</v>
      </c>
      <c r="D81" s="229">
        <v>200</v>
      </c>
      <c r="E81" s="229">
        <f>D81/C81</f>
        <v>66.666666666666671</v>
      </c>
      <c r="G81" s="228" t="s">
        <v>13</v>
      </c>
      <c r="H81" s="229"/>
      <c r="I81" s="229"/>
      <c r="J81" s="229" t="e">
        <f>I81/H81</f>
        <v>#DIV/0!</v>
      </c>
    </row>
    <row r="82" spans="2:10" x14ac:dyDescent="0.25">
      <c r="B82" s="228" t="s">
        <v>14</v>
      </c>
      <c r="C82" s="229">
        <v>1</v>
      </c>
      <c r="D82" s="229">
        <v>76</v>
      </c>
      <c r="E82" s="229">
        <f>D82/C82</f>
        <v>76</v>
      </c>
      <c r="G82" s="228" t="s">
        <v>14</v>
      </c>
      <c r="H82" s="229"/>
      <c r="I82" s="229"/>
      <c r="J82" s="229" t="e">
        <f>I82/H82</f>
        <v>#DIV/0!</v>
      </c>
    </row>
    <row r="83" spans="2:10" x14ac:dyDescent="0.25">
      <c r="B83" s="228" t="s">
        <v>15</v>
      </c>
      <c r="C83" s="229"/>
      <c r="D83" s="229"/>
      <c r="E83" s="229">
        <v>0</v>
      </c>
      <c r="G83" s="228" t="s">
        <v>15</v>
      </c>
      <c r="H83" s="229"/>
      <c r="I83" s="229"/>
      <c r="J83" s="229">
        <v>0</v>
      </c>
    </row>
    <row r="84" spans="2:10" x14ac:dyDescent="0.25">
      <c r="B84" s="254" t="s">
        <v>16</v>
      </c>
      <c r="C84" s="255">
        <f>SUM(C81:C83)</f>
        <v>4</v>
      </c>
      <c r="D84" s="255">
        <f>SUM(D81:D83)</f>
        <v>276</v>
      </c>
      <c r="E84" s="255">
        <f>+D84/C84</f>
        <v>69</v>
      </c>
      <c r="G84" s="254" t="s">
        <v>16</v>
      </c>
      <c r="H84" s="255">
        <f>SUM(H81:H83)</f>
        <v>0</v>
      </c>
      <c r="I84" s="255">
        <f>SUM(I81:I83)</f>
        <v>0</v>
      </c>
      <c r="J84" s="255" t="e">
        <f>+I84/H84</f>
        <v>#DIV/0!</v>
      </c>
    </row>
    <row r="85" spans="2:10" x14ac:dyDescent="0.25">
      <c r="B85" s="228" t="s">
        <v>17</v>
      </c>
      <c r="C85" s="229">
        <v>0</v>
      </c>
      <c r="D85" s="231">
        <v>0</v>
      </c>
      <c r="E85" s="229">
        <v>0</v>
      </c>
      <c r="G85" s="228" t="s">
        <v>17</v>
      </c>
      <c r="H85" s="229"/>
      <c r="I85" s="231"/>
      <c r="J85" s="229">
        <v>0</v>
      </c>
    </row>
    <row r="86" spans="2:10" x14ac:dyDescent="0.25">
      <c r="B86" s="228" t="s">
        <v>18</v>
      </c>
      <c r="C86" s="229">
        <v>0</v>
      </c>
      <c r="D86" s="231">
        <v>0</v>
      </c>
      <c r="E86" s="229"/>
      <c r="G86" s="228" t="s">
        <v>18</v>
      </c>
      <c r="H86" s="229"/>
      <c r="I86" s="231"/>
      <c r="J86" s="229" t="e">
        <f>I86/H86</f>
        <v>#DIV/0!</v>
      </c>
    </row>
    <row r="87" spans="2:10" x14ac:dyDescent="0.25">
      <c r="B87" s="228" t="s">
        <v>159</v>
      </c>
      <c r="C87" s="229">
        <v>0</v>
      </c>
      <c r="D87" s="231">
        <v>0</v>
      </c>
      <c r="E87" s="229"/>
      <c r="G87" s="228" t="s">
        <v>159</v>
      </c>
      <c r="H87" s="229"/>
      <c r="I87" s="231"/>
      <c r="J87" s="229"/>
    </row>
    <row r="88" spans="2:10" x14ac:dyDescent="0.25">
      <c r="B88" s="254" t="s">
        <v>160</v>
      </c>
      <c r="C88" s="255">
        <f>SUM(C85:C87)</f>
        <v>0</v>
      </c>
      <c r="D88" s="255">
        <f>SUM(D85:D87)</f>
        <v>0</v>
      </c>
      <c r="E88" s="255">
        <f>SUM(E85:E87)</f>
        <v>0</v>
      </c>
      <c r="G88" s="254" t="s">
        <v>160</v>
      </c>
      <c r="H88" s="255">
        <f>SUM(H85:H87)</f>
        <v>0</v>
      </c>
      <c r="I88" s="255">
        <f>SUM(I85:I87)</f>
        <v>0</v>
      </c>
      <c r="J88" s="255" t="e">
        <f>SUM(J85:J87)</f>
        <v>#DIV/0!</v>
      </c>
    </row>
    <row r="89" spans="2:10" x14ac:dyDescent="0.25">
      <c r="B89" s="228" t="s">
        <v>161</v>
      </c>
      <c r="C89" s="229">
        <v>0</v>
      </c>
      <c r="D89" s="231">
        <v>0</v>
      </c>
      <c r="E89" s="229"/>
      <c r="G89" s="228" t="s">
        <v>161</v>
      </c>
      <c r="H89" s="229"/>
      <c r="I89" s="231"/>
      <c r="J89" s="229"/>
    </row>
    <row r="90" spans="2:10" x14ac:dyDescent="0.25">
      <c r="B90" s="228" t="s">
        <v>162</v>
      </c>
      <c r="C90" s="229">
        <v>1</v>
      </c>
      <c r="D90" s="231">
        <v>108</v>
      </c>
      <c r="E90" s="229">
        <f>D90/C90</f>
        <v>108</v>
      </c>
      <c r="G90" s="228" t="s">
        <v>162</v>
      </c>
      <c r="H90" s="229"/>
      <c r="I90" s="231"/>
      <c r="J90" s="229"/>
    </row>
    <row r="91" spans="2:10" x14ac:dyDescent="0.25">
      <c r="B91" s="228" t="s">
        <v>163</v>
      </c>
      <c r="C91" s="229">
        <v>5</v>
      </c>
      <c r="D91" s="232">
        <v>467</v>
      </c>
      <c r="E91" s="229">
        <f>D91/C91</f>
        <v>93.4</v>
      </c>
      <c r="G91" s="228" t="s">
        <v>163</v>
      </c>
      <c r="H91" s="229"/>
      <c r="I91" s="232"/>
      <c r="J91" s="229"/>
    </row>
    <row r="92" spans="2:10" ht="15.75" thickBot="1" x14ac:dyDescent="0.3">
      <c r="B92" s="254" t="s">
        <v>164</v>
      </c>
      <c r="C92" s="255">
        <f>SUM(C89:C91)</f>
        <v>6</v>
      </c>
      <c r="D92" s="255">
        <f>SUM(D89:D91)</f>
        <v>575</v>
      </c>
      <c r="E92" s="255">
        <f>SUM(E89:E91)</f>
        <v>201.4</v>
      </c>
      <c r="G92" s="254" t="s">
        <v>164</v>
      </c>
      <c r="H92" s="255">
        <f>SUM(H89:H91)</f>
        <v>0</v>
      </c>
      <c r="I92" s="255">
        <f>SUM(I89:I91)</f>
        <v>0</v>
      </c>
      <c r="J92" s="255">
        <f>SUM(J89:J91)</f>
        <v>0</v>
      </c>
    </row>
    <row r="93" spans="2:10" ht="15.75" thickBot="1" x14ac:dyDescent="0.3">
      <c r="B93" s="236" t="s">
        <v>7</v>
      </c>
      <c r="C93" s="225">
        <f>C80+C84+C88+C92</f>
        <v>22</v>
      </c>
      <c r="D93" s="225">
        <f>D80+D84+D88+D92</f>
        <v>2327</v>
      </c>
      <c r="E93" s="225">
        <f>E80+E84+E88+E92</f>
        <v>393.4</v>
      </c>
      <c r="G93" s="236" t="s">
        <v>7</v>
      </c>
      <c r="H93" s="225">
        <f>H80+H84+H88+H92</f>
        <v>12</v>
      </c>
      <c r="I93" s="225">
        <f>I80+I84+I88+I92</f>
        <v>1057</v>
      </c>
      <c r="J93" s="225" t="e">
        <f>J80+J84+J88+J92</f>
        <v>#DIV/0!</v>
      </c>
    </row>
    <row r="94" spans="2:10" ht="15.75" thickBot="1" x14ac:dyDescent="0.3">
      <c r="B94" s="237" t="s">
        <v>165</v>
      </c>
      <c r="C94" s="225">
        <f>C93/12</f>
        <v>1.8333333333333333</v>
      </c>
      <c r="D94" s="238">
        <f>D93/12</f>
        <v>193.91666666666666</v>
      </c>
      <c r="E94" s="225">
        <f>D94/C94</f>
        <v>105.77272727272727</v>
      </c>
      <c r="G94" s="237" t="s">
        <v>165</v>
      </c>
      <c r="H94" s="225">
        <f>H93/12</f>
        <v>1</v>
      </c>
      <c r="I94" s="238">
        <f>I93/12</f>
        <v>88.083333333333329</v>
      </c>
      <c r="J94" s="225">
        <f>I94/H94</f>
        <v>88.083333333333329</v>
      </c>
    </row>
    <row r="97" spans="2:10" x14ac:dyDescent="0.25">
      <c r="B97" s="355" t="s">
        <v>172</v>
      </c>
      <c r="C97" s="355"/>
      <c r="D97" s="355"/>
      <c r="E97" s="355"/>
      <c r="G97" s="355" t="s">
        <v>173</v>
      </c>
      <c r="H97" s="355"/>
      <c r="I97" s="355"/>
      <c r="J97" s="355"/>
    </row>
    <row r="98" spans="2:10" ht="15.75" thickBot="1" x14ac:dyDescent="0.3"/>
    <row r="99" spans="2:10" ht="30" thickBot="1" x14ac:dyDescent="0.3">
      <c r="B99" s="225" t="s">
        <v>25</v>
      </c>
      <c r="C99" s="225" t="s">
        <v>153</v>
      </c>
      <c r="D99" s="226" t="s">
        <v>154</v>
      </c>
      <c r="E99" s="226" t="s">
        <v>155</v>
      </c>
      <c r="G99" s="225" t="s">
        <v>25</v>
      </c>
      <c r="H99" s="225" t="s">
        <v>153</v>
      </c>
      <c r="I99" s="226" t="s">
        <v>154</v>
      </c>
      <c r="J99" s="226" t="s">
        <v>155</v>
      </c>
    </row>
    <row r="100" spans="2:10" x14ac:dyDescent="0.25">
      <c r="B100" s="228" t="s">
        <v>156</v>
      </c>
      <c r="C100" s="229">
        <v>2</v>
      </c>
      <c r="D100" s="229">
        <f>89+85</f>
        <v>174</v>
      </c>
      <c r="E100" s="229">
        <f>D100/C100</f>
        <v>87</v>
      </c>
      <c r="G100" s="230" t="s">
        <v>156</v>
      </c>
      <c r="H100" s="229">
        <f>+'[9]Cruise Ships'!C36</f>
        <v>6</v>
      </c>
      <c r="I100" s="229">
        <f>+'[9]Cruise Ships'!C37</f>
        <v>923</v>
      </c>
      <c r="J100" s="229">
        <f>I100/H100</f>
        <v>153.83333333333334</v>
      </c>
    </row>
    <row r="101" spans="2:10" x14ac:dyDescent="0.25">
      <c r="B101" s="228" t="s">
        <v>157</v>
      </c>
      <c r="C101" s="229">
        <f>+'[9]Cruise Ships'!D32</f>
        <v>2</v>
      </c>
      <c r="D101" s="229">
        <f>+'[9]Cruise Ships'!D33</f>
        <v>253</v>
      </c>
      <c r="E101" s="229">
        <f>D101/C101</f>
        <v>126.5</v>
      </c>
      <c r="G101" s="230" t="s">
        <v>157</v>
      </c>
      <c r="H101" s="229">
        <f>+'[9]Cruise Ships'!D36</f>
        <v>2</v>
      </c>
      <c r="I101" s="229">
        <f>+'[9]Cruise Ships'!D37</f>
        <v>433</v>
      </c>
      <c r="J101" s="229">
        <f>I101/H101</f>
        <v>216.5</v>
      </c>
    </row>
    <row r="102" spans="2:10" x14ac:dyDescent="0.25">
      <c r="B102" s="228" t="s">
        <v>11</v>
      </c>
      <c r="C102" s="229">
        <f>+'[9]Cruise Ships'!E32</f>
        <v>6</v>
      </c>
      <c r="D102" s="229">
        <f>+'[9]Cruise Ships'!E33</f>
        <v>786</v>
      </c>
      <c r="E102" s="229">
        <f>D102/C102</f>
        <v>131</v>
      </c>
      <c r="G102" s="230" t="s">
        <v>11</v>
      </c>
      <c r="H102" s="229">
        <f>+'[9]Cruise Ships'!E36</f>
        <v>3</v>
      </c>
      <c r="I102" s="229">
        <f>+'[9]Cruise Ships'!E37</f>
        <v>378</v>
      </c>
      <c r="J102" s="229">
        <f>I102/H102</f>
        <v>126</v>
      </c>
    </row>
    <row r="103" spans="2:10" x14ac:dyDescent="0.25">
      <c r="B103" s="254" t="s">
        <v>158</v>
      </c>
      <c r="C103" s="255">
        <f>SUM(C100:C102)</f>
        <v>10</v>
      </c>
      <c r="D103" s="255">
        <f>SUM(D100:D102)</f>
        <v>1213</v>
      </c>
      <c r="E103" s="255">
        <f>+D103/C103</f>
        <v>121.3</v>
      </c>
      <c r="G103" s="240" t="s">
        <v>158</v>
      </c>
      <c r="H103" s="241">
        <f>SUM(H100:H102)</f>
        <v>11</v>
      </c>
      <c r="I103" s="241">
        <f>SUM(I100:I102)</f>
        <v>1734</v>
      </c>
      <c r="J103" s="241">
        <f>+I103/H103</f>
        <v>157.63636363636363</v>
      </c>
    </row>
    <row r="104" spans="2:10" x14ac:dyDescent="0.25">
      <c r="B104" s="228" t="s">
        <v>13</v>
      </c>
      <c r="C104" s="229"/>
      <c r="D104" s="229"/>
      <c r="E104" s="229" t="e">
        <f>D104/C104</f>
        <v>#DIV/0!</v>
      </c>
      <c r="G104" s="230" t="s">
        <v>13</v>
      </c>
      <c r="H104" s="229">
        <f>+'[9]Cruise Ships'!F36</f>
        <v>3</v>
      </c>
      <c r="I104" s="229">
        <f>+'[9]Cruise Ships'!F37</f>
        <v>351</v>
      </c>
      <c r="J104" s="229">
        <f>I104/H104</f>
        <v>117</v>
      </c>
    </row>
    <row r="105" spans="2:10" x14ac:dyDescent="0.25">
      <c r="B105" s="228" t="s">
        <v>14</v>
      </c>
      <c r="C105" s="229"/>
      <c r="D105" s="229"/>
      <c r="E105" s="229" t="e">
        <f>D105/C105</f>
        <v>#DIV/0!</v>
      </c>
      <c r="G105" s="230" t="s">
        <v>14</v>
      </c>
      <c r="H105" s="229"/>
      <c r="I105" s="229"/>
      <c r="J105" s="229" t="e">
        <f>I105/H105</f>
        <v>#DIV/0!</v>
      </c>
    </row>
    <row r="106" spans="2:10" x14ac:dyDescent="0.25">
      <c r="B106" s="228" t="s">
        <v>15</v>
      </c>
      <c r="C106" s="229"/>
      <c r="D106" s="229"/>
      <c r="E106" s="229">
        <v>0</v>
      </c>
      <c r="G106" s="230" t="s">
        <v>15</v>
      </c>
      <c r="H106" s="229"/>
      <c r="I106" s="229"/>
      <c r="J106" s="229">
        <v>0</v>
      </c>
    </row>
    <row r="107" spans="2:10" x14ac:dyDescent="0.25">
      <c r="B107" s="254" t="s">
        <v>16</v>
      </c>
      <c r="C107" s="255">
        <f>SUM(C104:C106)</f>
        <v>0</v>
      </c>
      <c r="D107" s="255">
        <f>SUM(D104:D106)</f>
        <v>0</v>
      </c>
      <c r="E107" s="255" t="e">
        <f>+D107/C107</f>
        <v>#DIV/0!</v>
      </c>
      <c r="G107" s="240" t="s">
        <v>16</v>
      </c>
      <c r="H107" s="241">
        <f>SUM(H104:H106)</f>
        <v>3</v>
      </c>
      <c r="I107" s="241">
        <f>SUM(I104:I106)</f>
        <v>351</v>
      </c>
      <c r="J107" s="242">
        <f>+I107/H107</f>
        <v>117</v>
      </c>
    </row>
    <row r="108" spans="2:10" x14ac:dyDescent="0.25">
      <c r="B108" s="228" t="s">
        <v>17</v>
      </c>
      <c r="C108" s="229"/>
      <c r="D108" s="231"/>
      <c r="E108" s="229">
        <v>0</v>
      </c>
      <c r="G108" s="230" t="s">
        <v>17</v>
      </c>
      <c r="H108" s="229"/>
      <c r="I108" s="229"/>
      <c r="J108" s="229">
        <v>0</v>
      </c>
    </row>
    <row r="109" spans="2:10" x14ac:dyDescent="0.25">
      <c r="B109" s="228" t="s">
        <v>18</v>
      </c>
      <c r="C109" s="229"/>
      <c r="D109" s="231"/>
      <c r="E109" s="229" t="e">
        <f>D109/C109</f>
        <v>#DIV/0!</v>
      </c>
      <c r="G109" s="230" t="s">
        <v>18</v>
      </c>
      <c r="H109" s="229"/>
      <c r="I109" s="229"/>
      <c r="J109" s="229" t="e">
        <f>I109/H109</f>
        <v>#DIV/0!</v>
      </c>
    </row>
    <row r="110" spans="2:10" x14ac:dyDescent="0.25">
      <c r="B110" s="228" t="s">
        <v>159</v>
      </c>
      <c r="C110" s="229"/>
      <c r="D110" s="231"/>
      <c r="E110" s="229"/>
      <c r="G110" s="230" t="s">
        <v>159</v>
      </c>
      <c r="H110" s="229"/>
      <c r="I110" s="229"/>
      <c r="J110" s="229"/>
    </row>
    <row r="111" spans="2:10" x14ac:dyDescent="0.25">
      <c r="B111" s="254" t="s">
        <v>160</v>
      </c>
      <c r="C111" s="255">
        <f>SUM(C108:C110)</f>
        <v>0</v>
      </c>
      <c r="D111" s="255">
        <f>SUM(D108:D110)</f>
        <v>0</v>
      </c>
      <c r="E111" s="255" t="e">
        <f>SUM(E108:E110)</f>
        <v>#DIV/0!</v>
      </c>
      <c r="G111" s="240" t="s">
        <v>160</v>
      </c>
      <c r="H111" s="241">
        <f>SUM(H108:H110)</f>
        <v>0</v>
      </c>
      <c r="I111" s="241">
        <f>SUM(I108:I110)</f>
        <v>0</v>
      </c>
      <c r="J111" s="242" t="e">
        <f>SUM(J108:J110)</f>
        <v>#DIV/0!</v>
      </c>
    </row>
    <row r="112" spans="2:10" x14ac:dyDescent="0.25">
      <c r="B112" s="228" t="s">
        <v>161</v>
      </c>
      <c r="C112" s="229"/>
      <c r="D112" s="231"/>
      <c r="E112" s="229"/>
      <c r="G112" s="230" t="s">
        <v>161</v>
      </c>
      <c r="H112" s="229"/>
      <c r="I112" s="229"/>
      <c r="J112" s="229"/>
    </row>
    <row r="113" spans="2:10" x14ac:dyDescent="0.25">
      <c r="B113" s="228" t="s">
        <v>162</v>
      </c>
      <c r="C113" s="229"/>
      <c r="D113" s="231"/>
      <c r="E113" s="229"/>
      <c r="G113" s="230" t="s">
        <v>162</v>
      </c>
      <c r="H113" s="229">
        <f>+'[9]Cruise Ships'!M36</f>
        <v>1</v>
      </c>
      <c r="I113" s="229">
        <f>+'[9]Cruise Ships'!M37</f>
        <v>64</v>
      </c>
      <c r="J113" s="229">
        <f>+'[9]Cruise Ships'!M38</f>
        <v>91</v>
      </c>
    </row>
    <row r="114" spans="2:10" x14ac:dyDescent="0.25">
      <c r="B114" s="228" t="s">
        <v>163</v>
      </c>
      <c r="C114" s="229"/>
      <c r="D114" s="232"/>
      <c r="E114" s="229"/>
      <c r="G114" s="230" t="s">
        <v>163</v>
      </c>
      <c r="H114" s="229">
        <f>+'[9]Cruise Ships'!N36</f>
        <v>6</v>
      </c>
      <c r="I114" s="229">
        <f>+'[9]Cruise Ships'!N37</f>
        <v>690</v>
      </c>
      <c r="J114" s="229">
        <f>+'[9]Cruise Ships'!N38</f>
        <v>553</v>
      </c>
    </row>
    <row r="115" spans="2:10" ht="15.75" thickBot="1" x14ac:dyDescent="0.3">
      <c r="B115" s="254" t="s">
        <v>164</v>
      </c>
      <c r="C115" s="255">
        <f>SUM(C112:C114)</f>
        <v>0</v>
      </c>
      <c r="D115" s="255">
        <f>SUM(D112:D114)</f>
        <v>0</v>
      </c>
      <c r="E115" s="255">
        <f>SUM(E112:E114)</f>
        <v>0</v>
      </c>
      <c r="G115" s="240" t="s">
        <v>164</v>
      </c>
      <c r="H115" s="241">
        <f>SUM(H112:H114)</f>
        <v>7</v>
      </c>
      <c r="I115" s="241">
        <f>SUM(I112:I114)</f>
        <v>754</v>
      </c>
      <c r="J115" s="241">
        <f>SUM(J112:J114)</f>
        <v>644</v>
      </c>
    </row>
    <row r="116" spans="2:10" ht="15.75" thickBot="1" x14ac:dyDescent="0.3">
      <c r="B116" s="236" t="s">
        <v>7</v>
      </c>
      <c r="C116" s="225">
        <f>C103+C107+C111+C115</f>
        <v>10</v>
      </c>
      <c r="D116" s="225">
        <f>D103+D107+D111+D115</f>
        <v>1213</v>
      </c>
      <c r="E116" s="225" t="e">
        <f>E103+E107+E111+E115</f>
        <v>#DIV/0!</v>
      </c>
      <c r="G116" s="236" t="s">
        <v>7</v>
      </c>
      <c r="H116" s="225">
        <f>H103+H107+H111+H115</f>
        <v>21</v>
      </c>
      <c r="I116" s="225">
        <f>I103+I107+I111+I115</f>
        <v>2839</v>
      </c>
      <c r="J116" s="225" t="e">
        <f>J103+J107+J111+J115</f>
        <v>#DIV/0!</v>
      </c>
    </row>
    <row r="117" spans="2:10" ht="15.75" thickBot="1" x14ac:dyDescent="0.3">
      <c r="B117" s="237" t="s">
        <v>165</v>
      </c>
      <c r="C117" s="225">
        <f>C116/12</f>
        <v>0.83333333333333337</v>
      </c>
      <c r="D117" s="238">
        <f>D116/12</f>
        <v>101.08333333333333</v>
      </c>
      <c r="E117" s="225">
        <f>D117/C117</f>
        <v>121.29999999999998</v>
      </c>
      <c r="G117" s="237" t="s">
        <v>165</v>
      </c>
      <c r="H117" s="225">
        <f>H116/12</f>
        <v>1.75</v>
      </c>
      <c r="I117" s="238">
        <f>I116/12</f>
        <v>236.58333333333334</v>
      </c>
      <c r="J117" s="225">
        <f>I117/H117</f>
        <v>135.1904761904762</v>
      </c>
    </row>
    <row r="120" spans="2:10" x14ac:dyDescent="0.25">
      <c r="B120" s="355" t="s">
        <v>174</v>
      </c>
      <c r="C120" s="355"/>
      <c r="D120" s="355"/>
      <c r="E120" s="355"/>
      <c r="G120" s="355" t="s">
        <v>175</v>
      </c>
      <c r="H120" s="355"/>
      <c r="I120" s="355"/>
      <c r="J120" s="355"/>
    </row>
    <row r="121" spans="2:10" ht="15.75" thickBot="1" x14ac:dyDescent="0.3"/>
    <row r="122" spans="2:10" ht="30" thickBot="1" x14ac:dyDescent="0.3">
      <c r="B122" s="225" t="s">
        <v>25</v>
      </c>
      <c r="C122" s="225" t="s">
        <v>153</v>
      </c>
      <c r="D122" s="226" t="s">
        <v>154</v>
      </c>
      <c r="E122" s="226" t="s">
        <v>155</v>
      </c>
      <c r="G122" s="225" t="s">
        <v>25</v>
      </c>
      <c r="H122" s="225" t="s">
        <v>153</v>
      </c>
      <c r="I122" s="226" t="s">
        <v>154</v>
      </c>
      <c r="J122" s="226" t="s">
        <v>155</v>
      </c>
    </row>
    <row r="123" spans="2:10" x14ac:dyDescent="0.25">
      <c r="B123" s="228" t="s">
        <v>156</v>
      </c>
      <c r="C123" s="229"/>
      <c r="D123" s="229"/>
      <c r="E123" s="229" t="e">
        <f>D123/C123</f>
        <v>#DIV/0!</v>
      </c>
      <c r="G123" s="230" t="s">
        <v>156</v>
      </c>
      <c r="H123" s="229"/>
      <c r="I123" s="229"/>
      <c r="J123" s="229" t="e">
        <f>I123/H123</f>
        <v>#DIV/0!</v>
      </c>
    </row>
    <row r="124" spans="2:10" x14ac:dyDescent="0.25">
      <c r="B124" s="228" t="s">
        <v>157</v>
      </c>
      <c r="C124" s="229"/>
      <c r="D124" s="229"/>
      <c r="E124" s="229" t="e">
        <f>D124/C124</f>
        <v>#DIV/0!</v>
      </c>
      <c r="G124" s="230" t="s">
        <v>157</v>
      </c>
      <c r="H124" s="229"/>
      <c r="I124" s="229"/>
      <c r="J124" s="229" t="e">
        <f>I124/H124</f>
        <v>#DIV/0!</v>
      </c>
    </row>
    <row r="125" spans="2:10" x14ac:dyDescent="0.25">
      <c r="B125" s="228" t="s">
        <v>11</v>
      </c>
      <c r="C125" s="229">
        <f>+'[9]Cruise Ships'!E40</f>
        <v>4</v>
      </c>
      <c r="D125" s="229">
        <f>+'[9]Cruise Ships'!E41</f>
        <v>693</v>
      </c>
      <c r="E125" s="229">
        <f>D125/C125</f>
        <v>173.25</v>
      </c>
      <c r="G125" s="230" t="s">
        <v>11</v>
      </c>
      <c r="H125" s="229"/>
      <c r="I125" s="229"/>
      <c r="J125" s="229" t="e">
        <f>I125/H125</f>
        <v>#DIV/0!</v>
      </c>
    </row>
    <row r="126" spans="2:10" x14ac:dyDescent="0.25">
      <c r="B126" s="254" t="s">
        <v>158</v>
      </c>
      <c r="C126" s="255">
        <f>SUM(C123:C125)</f>
        <v>4</v>
      </c>
      <c r="D126" s="255">
        <f>SUM(D123:D125)</f>
        <v>693</v>
      </c>
      <c r="E126" s="255">
        <f>+D126/C126</f>
        <v>173.25</v>
      </c>
      <c r="G126" s="240" t="s">
        <v>158</v>
      </c>
      <c r="H126" s="241">
        <f>SUM(H123:H125)</f>
        <v>0</v>
      </c>
      <c r="I126" s="241">
        <f>SUM(I123:I125)</f>
        <v>0</v>
      </c>
      <c r="J126" s="241" t="e">
        <f>+I126/H126</f>
        <v>#DIV/0!</v>
      </c>
    </row>
    <row r="127" spans="2:10" x14ac:dyDescent="0.25">
      <c r="B127" s="228" t="s">
        <v>13</v>
      </c>
      <c r="C127" s="229"/>
      <c r="D127" s="229"/>
      <c r="E127" s="229" t="e">
        <f>D127/C127</f>
        <v>#DIV/0!</v>
      </c>
      <c r="G127" s="230" t="s">
        <v>13</v>
      </c>
      <c r="H127" s="229"/>
      <c r="I127" s="229"/>
      <c r="J127" s="229" t="e">
        <f>I127/H127</f>
        <v>#DIV/0!</v>
      </c>
    </row>
    <row r="128" spans="2:10" x14ac:dyDescent="0.25">
      <c r="B128" s="228" t="s">
        <v>14</v>
      </c>
      <c r="C128" s="229"/>
      <c r="D128" s="229"/>
      <c r="E128" s="229" t="e">
        <f>D128/C128</f>
        <v>#DIV/0!</v>
      </c>
      <c r="G128" s="230" t="s">
        <v>14</v>
      </c>
      <c r="H128" s="229"/>
      <c r="I128" s="229"/>
      <c r="J128" s="229" t="e">
        <f>I128/H128</f>
        <v>#DIV/0!</v>
      </c>
    </row>
    <row r="129" spans="2:10" x14ac:dyDescent="0.25">
      <c r="B129" s="228" t="s">
        <v>15</v>
      </c>
      <c r="C129" s="229"/>
      <c r="D129" s="229"/>
      <c r="E129" s="229">
        <v>0</v>
      </c>
      <c r="G129" s="230" t="s">
        <v>15</v>
      </c>
      <c r="H129" s="229"/>
      <c r="I129" s="229"/>
      <c r="J129" s="229">
        <v>0</v>
      </c>
    </row>
    <row r="130" spans="2:10" x14ac:dyDescent="0.25">
      <c r="B130" s="254" t="s">
        <v>16</v>
      </c>
      <c r="C130" s="255">
        <f>SUM(C127:C129)</f>
        <v>0</v>
      </c>
      <c r="D130" s="255">
        <f>SUM(D127:D129)</f>
        <v>0</v>
      </c>
      <c r="E130" s="255" t="e">
        <f>+D130/C130</f>
        <v>#DIV/0!</v>
      </c>
      <c r="G130" s="240" t="s">
        <v>16</v>
      </c>
      <c r="H130" s="241">
        <f>SUM(H127:H129)</f>
        <v>0</v>
      </c>
      <c r="I130" s="241">
        <f>SUM(I127:I129)</f>
        <v>0</v>
      </c>
      <c r="J130" s="242" t="e">
        <f>+I130/H130</f>
        <v>#DIV/0!</v>
      </c>
    </row>
    <row r="131" spans="2:10" x14ac:dyDescent="0.25">
      <c r="B131" s="228" t="s">
        <v>17</v>
      </c>
      <c r="C131" s="229"/>
      <c r="D131" s="231"/>
      <c r="E131" s="229">
        <v>0</v>
      </c>
      <c r="G131" s="230" t="s">
        <v>17</v>
      </c>
      <c r="H131" s="229"/>
      <c r="I131" s="229"/>
      <c r="J131" s="229">
        <v>0</v>
      </c>
    </row>
    <row r="132" spans="2:10" x14ac:dyDescent="0.25">
      <c r="B132" s="228" t="s">
        <v>18</v>
      </c>
      <c r="C132" s="229"/>
      <c r="D132" s="231"/>
      <c r="E132" s="229" t="e">
        <f>D132/C132</f>
        <v>#DIV/0!</v>
      </c>
      <c r="G132" s="230" t="s">
        <v>18</v>
      </c>
      <c r="H132" s="229"/>
      <c r="I132" s="229"/>
      <c r="J132" s="229" t="e">
        <f>I132/H132</f>
        <v>#DIV/0!</v>
      </c>
    </row>
    <row r="133" spans="2:10" x14ac:dyDescent="0.25">
      <c r="B133" s="228" t="s">
        <v>159</v>
      </c>
      <c r="C133" s="229"/>
      <c r="D133" s="231"/>
      <c r="E133" s="229"/>
      <c r="G133" s="230" t="s">
        <v>159</v>
      </c>
      <c r="H133" s="229"/>
      <c r="I133" s="229"/>
      <c r="J133" s="229"/>
    </row>
    <row r="134" spans="2:10" x14ac:dyDescent="0.25">
      <c r="B134" s="254" t="s">
        <v>160</v>
      </c>
      <c r="C134" s="255">
        <f>SUM(C131:C133)</f>
        <v>0</v>
      </c>
      <c r="D134" s="255">
        <f>SUM(D131:D133)</f>
        <v>0</v>
      </c>
      <c r="E134" s="255" t="e">
        <f>SUM(E131:E133)</f>
        <v>#DIV/0!</v>
      </c>
      <c r="G134" s="240" t="s">
        <v>160</v>
      </c>
      <c r="H134" s="241">
        <f>SUM(H131:H133)</f>
        <v>0</v>
      </c>
      <c r="I134" s="241">
        <f>SUM(I131:I133)</f>
        <v>0</v>
      </c>
      <c r="J134" s="242" t="e">
        <f>SUM(J131:J133)</f>
        <v>#DIV/0!</v>
      </c>
    </row>
    <row r="135" spans="2:10" x14ac:dyDescent="0.25">
      <c r="B135" s="228" t="s">
        <v>161</v>
      </c>
      <c r="C135" s="229"/>
      <c r="D135" s="231"/>
      <c r="E135" s="229"/>
      <c r="G135" s="230" t="s">
        <v>161</v>
      </c>
      <c r="H135" s="229"/>
      <c r="I135" s="229"/>
      <c r="J135" s="229"/>
    </row>
    <row r="136" spans="2:10" x14ac:dyDescent="0.25">
      <c r="B136" s="228" t="s">
        <v>162</v>
      </c>
      <c r="C136" s="229"/>
      <c r="D136" s="231"/>
      <c r="E136" s="229" t="e">
        <f>+'[9]Cruise Ships'!H64</f>
        <v>#REF!</v>
      </c>
      <c r="G136" s="230" t="s">
        <v>162</v>
      </c>
      <c r="H136" s="229"/>
      <c r="I136" s="229"/>
      <c r="J136" s="229" t="e">
        <f>+'[9]Cruise Ships'!M64</f>
        <v>#REF!</v>
      </c>
    </row>
    <row r="137" spans="2:10" x14ac:dyDescent="0.25">
      <c r="B137" s="228" t="s">
        <v>163</v>
      </c>
      <c r="C137" s="229"/>
      <c r="D137" s="232"/>
      <c r="E137" s="229" t="e">
        <f>+'[9]Cruise Ships'!I64</f>
        <v>#REF!</v>
      </c>
      <c r="G137" s="230" t="s">
        <v>163</v>
      </c>
      <c r="H137" s="229"/>
      <c r="I137" s="229"/>
      <c r="J137" s="229" t="e">
        <f>+'[9]Cruise Ships'!N64</f>
        <v>#REF!</v>
      </c>
    </row>
    <row r="138" spans="2:10" ht="15.75" thickBot="1" x14ac:dyDescent="0.3">
      <c r="B138" s="254" t="s">
        <v>164</v>
      </c>
      <c r="C138" s="255">
        <f>SUM(C135:C137)</f>
        <v>0</v>
      </c>
      <c r="D138" s="255">
        <f>SUM(D135:D137)</f>
        <v>0</v>
      </c>
      <c r="E138" s="255" t="e">
        <f>SUM(E135:E137)</f>
        <v>#REF!</v>
      </c>
      <c r="G138" s="240" t="s">
        <v>164</v>
      </c>
      <c r="H138" s="241">
        <f>SUM(H135:H137)</f>
        <v>0</v>
      </c>
      <c r="I138" s="241">
        <f>SUM(I135:I137)</f>
        <v>0</v>
      </c>
      <c r="J138" s="241" t="e">
        <f>SUM(J135:J137)</f>
        <v>#REF!</v>
      </c>
    </row>
    <row r="139" spans="2:10" ht="15.75" thickBot="1" x14ac:dyDescent="0.3">
      <c r="B139" s="236" t="s">
        <v>7</v>
      </c>
      <c r="C139" s="225">
        <f>C126+C130+C134+C138</f>
        <v>4</v>
      </c>
      <c r="D139" s="225">
        <f>D126+D130+D134+D138</f>
        <v>693</v>
      </c>
      <c r="E139" s="225" t="e">
        <f>E126+E130+E134+E138</f>
        <v>#DIV/0!</v>
      </c>
      <c r="G139" s="236" t="s">
        <v>7</v>
      </c>
      <c r="H139" s="225">
        <f>H126+H130+H134+H138</f>
        <v>0</v>
      </c>
      <c r="I139" s="225">
        <f>I126+I130+I134+I138</f>
        <v>0</v>
      </c>
      <c r="J139" s="225" t="e">
        <f>J126+J130+J134+J138</f>
        <v>#DIV/0!</v>
      </c>
    </row>
    <row r="140" spans="2:10" ht="15.75" thickBot="1" x14ac:dyDescent="0.3">
      <c r="B140" s="237" t="s">
        <v>165</v>
      </c>
      <c r="C140" s="225">
        <f>C139/12</f>
        <v>0.33333333333333331</v>
      </c>
      <c r="D140" s="238">
        <f>D139/12</f>
        <v>57.75</v>
      </c>
      <c r="E140" s="225">
        <f>D140/C140</f>
        <v>173.25</v>
      </c>
      <c r="G140" s="237" t="s">
        <v>165</v>
      </c>
      <c r="H140" s="225">
        <f>H139/12</f>
        <v>0</v>
      </c>
      <c r="I140" s="238">
        <f>I139/12</f>
        <v>0</v>
      </c>
      <c r="J140" s="225" t="e">
        <f>I140/H140</f>
        <v>#DIV/0!</v>
      </c>
    </row>
    <row r="143" spans="2:10" x14ac:dyDescent="0.25">
      <c r="B143" s="355" t="s">
        <v>184</v>
      </c>
      <c r="C143" s="355"/>
      <c r="D143" s="355"/>
      <c r="E143" s="355"/>
      <c r="G143" s="355" t="s">
        <v>186</v>
      </c>
      <c r="H143" s="355"/>
      <c r="I143" s="355"/>
      <c r="J143" s="355"/>
    </row>
    <row r="144" spans="2:10" ht="15.75" thickBot="1" x14ac:dyDescent="0.3"/>
    <row r="145" spans="2:10" ht="30" thickBot="1" x14ac:dyDescent="0.3">
      <c r="B145" s="225" t="s">
        <v>25</v>
      </c>
      <c r="C145" s="225" t="s">
        <v>153</v>
      </c>
      <c r="D145" s="226" t="s">
        <v>154</v>
      </c>
      <c r="E145" s="226" t="s">
        <v>155</v>
      </c>
      <c r="G145" s="225" t="s">
        <v>25</v>
      </c>
      <c r="H145" s="225" t="s">
        <v>153</v>
      </c>
      <c r="I145" s="226" t="s">
        <v>154</v>
      </c>
      <c r="J145" s="226" t="s">
        <v>155</v>
      </c>
    </row>
    <row r="146" spans="2:10" x14ac:dyDescent="0.25">
      <c r="B146" s="230" t="s">
        <v>156</v>
      </c>
      <c r="C146" s="229">
        <f>+'Cruise Ships'!C48</f>
        <v>11</v>
      </c>
      <c r="D146" s="229">
        <f>+'Cruise Ships'!C49</f>
        <v>1720</v>
      </c>
      <c r="E146" s="229">
        <f>D146/C146</f>
        <v>156.36363636363637</v>
      </c>
      <c r="G146" s="230" t="s">
        <v>156</v>
      </c>
      <c r="H146" s="229">
        <f>+'Cruise Ships'!C52</f>
        <v>8</v>
      </c>
      <c r="I146" s="229">
        <f>+'Cruise Ships'!C53</f>
        <v>1136</v>
      </c>
      <c r="J146" s="229">
        <f>I146/H146</f>
        <v>142</v>
      </c>
    </row>
    <row r="147" spans="2:10" x14ac:dyDescent="0.25">
      <c r="B147" s="230" t="s">
        <v>157</v>
      </c>
      <c r="C147" s="229">
        <f>+'Cruise Ships'!D48</f>
        <v>8</v>
      </c>
      <c r="D147" s="229">
        <f>+'Cruise Ships'!D49</f>
        <v>1262</v>
      </c>
      <c r="E147" s="229">
        <f>D147/C147</f>
        <v>157.75</v>
      </c>
      <c r="G147" s="230" t="s">
        <v>157</v>
      </c>
      <c r="H147" s="229">
        <f>+'Cruise Ships'!D52</f>
        <v>6</v>
      </c>
      <c r="I147" s="229">
        <f>+'Cruise Ships'!D53</f>
        <v>674</v>
      </c>
      <c r="J147" s="229">
        <f>I147/H147</f>
        <v>112.33333333333333</v>
      </c>
    </row>
    <row r="148" spans="2:10" x14ac:dyDescent="0.25">
      <c r="B148" s="230" t="s">
        <v>11</v>
      </c>
      <c r="C148" s="229">
        <f>+'Cruise Ships'!E48</f>
        <v>11</v>
      </c>
      <c r="D148" s="229">
        <f>+'Cruise Ships'!E49</f>
        <v>1256</v>
      </c>
      <c r="E148" s="229">
        <f>D148/C148</f>
        <v>114.18181818181819</v>
      </c>
      <c r="G148" s="230" t="s">
        <v>11</v>
      </c>
      <c r="H148" s="229">
        <f>+'Cruise Ships'!E52</f>
        <v>5</v>
      </c>
      <c r="I148" s="229">
        <f>+'Cruise Ships'!E53</f>
        <v>790</v>
      </c>
      <c r="J148" s="229">
        <f>I148/H148</f>
        <v>158</v>
      </c>
    </row>
    <row r="149" spans="2:10" x14ac:dyDescent="0.25">
      <c r="B149" s="240" t="s">
        <v>158</v>
      </c>
      <c r="C149" s="241">
        <f>SUM(C146:C148)</f>
        <v>30</v>
      </c>
      <c r="D149" s="241">
        <f>SUM(D146:D148)</f>
        <v>4238</v>
      </c>
      <c r="E149" s="241">
        <f>+D149/C149</f>
        <v>141.26666666666668</v>
      </c>
      <c r="G149" s="240" t="s">
        <v>158</v>
      </c>
      <c r="H149" s="241">
        <f>SUM(H146:H148)</f>
        <v>19</v>
      </c>
      <c r="I149" s="241">
        <f>SUM(I146:I148)</f>
        <v>2600</v>
      </c>
      <c r="J149" s="241">
        <f>+I149/H149</f>
        <v>136.84210526315789</v>
      </c>
    </row>
    <row r="150" spans="2:10" x14ac:dyDescent="0.25">
      <c r="B150" s="230" t="s">
        <v>13</v>
      </c>
      <c r="C150" s="229">
        <f>+'Cruise Ships'!F48</f>
        <v>1</v>
      </c>
      <c r="D150" s="229">
        <f>+'Cruise Ships'!F49</f>
        <v>71</v>
      </c>
      <c r="E150" s="229">
        <f>D150/C150</f>
        <v>71</v>
      </c>
      <c r="G150" s="230" t="s">
        <v>13</v>
      </c>
      <c r="H150" s="229">
        <f>+'Cruise Ships'!F52</f>
        <v>1</v>
      </c>
      <c r="I150" s="229">
        <f>+'Cruise Ships'!F53</f>
        <v>101</v>
      </c>
      <c r="J150" s="229">
        <f>I150/H150</f>
        <v>101</v>
      </c>
    </row>
    <row r="151" spans="2:10" x14ac:dyDescent="0.25">
      <c r="B151" s="230" t="s">
        <v>14</v>
      </c>
      <c r="C151" s="229">
        <f>+'Cruise Ships'!G48</f>
        <v>0</v>
      </c>
      <c r="D151" s="229">
        <f>+'Cruise Ships'!G49</f>
        <v>0</v>
      </c>
      <c r="E151" s="229">
        <v>0</v>
      </c>
      <c r="G151" s="230" t="s">
        <v>14</v>
      </c>
      <c r="H151" s="229"/>
      <c r="I151" s="229"/>
      <c r="J151" s="229">
        <v>0</v>
      </c>
    </row>
    <row r="152" spans="2:10" x14ac:dyDescent="0.25">
      <c r="B152" s="230" t="s">
        <v>15</v>
      </c>
      <c r="C152" s="229">
        <f>+'Cruise Ships'!H48</f>
        <v>0</v>
      </c>
      <c r="D152" s="229">
        <f>+'Cruise Ships'!H49</f>
        <v>0</v>
      </c>
      <c r="E152" s="229">
        <v>0</v>
      </c>
      <c r="G152" s="230" t="s">
        <v>15</v>
      </c>
      <c r="H152" s="229"/>
      <c r="I152" s="229"/>
      <c r="J152" s="229">
        <v>0</v>
      </c>
    </row>
    <row r="153" spans="2:10" x14ac:dyDescent="0.25">
      <c r="B153" s="240" t="s">
        <v>16</v>
      </c>
      <c r="C153" s="241">
        <f>SUM(C150:C152)</f>
        <v>1</v>
      </c>
      <c r="D153" s="241">
        <f>SUM(D150:D152)</f>
        <v>71</v>
      </c>
      <c r="E153" s="242">
        <f>+D153/C153</f>
        <v>71</v>
      </c>
      <c r="G153" s="240" t="s">
        <v>16</v>
      </c>
      <c r="H153" s="241">
        <f>SUM(H150:H152)</f>
        <v>1</v>
      </c>
      <c r="I153" s="241">
        <f>SUM(I150:I152)</f>
        <v>101</v>
      </c>
      <c r="J153" s="242">
        <f>+I153/H153</f>
        <v>101</v>
      </c>
    </row>
    <row r="154" spans="2:10" x14ac:dyDescent="0.25">
      <c r="B154" s="230" t="s">
        <v>17</v>
      </c>
      <c r="C154" s="229">
        <f>+'Cruise Ships'!I48</f>
        <v>0</v>
      </c>
      <c r="D154" s="229">
        <f>+'Cruise Ships'!I49</f>
        <v>0</v>
      </c>
      <c r="E154" s="229">
        <v>0</v>
      </c>
      <c r="G154" s="230" t="s">
        <v>17</v>
      </c>
      <c r="H154" s="229"/>
      <c r="I154" s="229"/>
      <c r="J154" s="229">
        <v>0</v>
      </c>
    </row>
    <row r="155" spans="2:10" x14ac:dyDescent="0.25">
      <c r="B155" s="230" t="s">
        <v>18</v>
      </c>
      <c r="C155" s="229">
        <f>+'Cruise Ships'!J48</f>
        <v>0</v>
      </c>
      <c r="D155" s="229">
        <f>+'Cruise Ships'!J49</f>
        <v>0</v>
      </c>
      <c r="E155" s="229">
        <v>0</v>
      </c>
      <c r="G155" s="230" t="s">
        <v>18</v>
      </c>
      <c r="H155" s="229"/>
      <c r="I155" s="229"/>
      <c r="J155" s="229">
        <v>0</v>
      </c>
    </row>
    <row r="156" spans="2:10" x14ac:dyDescent="0.25">
      <c r="B156" s="230" t="s">
        <v>159</v>
      </c>
      <c r="C156" s="229">
        <f>+'Cruise Ships'!K48</f>
        <v>0</v>
      </c>
      <c r="D156" s="229">
        <f>+'Cruise Ships'!K49</f>
        <v>0</v>
      </c>
      <c r="E156" s="229">
        <v>0</v>
      </c>
      <c r="G156" s="230" t="s">
        <v>159</v>
      </c>
      <c r="H156" s="229"/>
      <c r="I156" s="229"/>
      <c r="J156" s="229">
        <v>0</v>
      </c>
    </row>
    <row r="157" spans="2:10" x14ac:dyDescent="0.25">
      <c r="B157" s="240" t="s">
        <v>160</v>
      </c>
      <c r="C157" s="241">
        <f>SUM(C154:C156)</f>
        <v>0</v>
      </c>
      <c r="D157" s="241">
        <f>SUM(D154:D156)</f>
        <v>0</v>
      </c>
      <c r="E157" s="242">
        <f>SUM(E154:E156)</f>
        <v>0</v>
      </c>
      <c r="G157" s="240" t="s">
        <v>160</v>
      </c>
      <c r="H157" s="241">
        <f>SUM(H154:H156)</f>
        <v>0</v>
      </c>
      <c r="I157" s="241">
        <f>SUM(I154:I156)</f>
        <v>0</v>
      </c>
      <c r="J157" s="242">
        <f>SUM(J154:J156)</f>
        <v>0</v>
      </c>
    </row>
    <row r="158" spans="2:10" x14ac:dyDescent="0.25">
      <c r="B158" s="230" t="s">
        <v>161</v>
      </c>
      <c r="C158" s="229">
        <f>+'Cruise Ships'!L48</f>
        <v>0</v>
      </c>
      <c r="D158" s="229">
        <f>+'Cruise Ships'!L49</f>
        <v>0</v>
      </c>
      <c r="E158" s="229">
        <v>0</v>
      </c>
      <c r="G158" s="230" t="s">
        <v>161</v>
      </c>
      <c r="H158" s="229"/>
      <c r="I158" s="229"/>
      <c r="J158" s="229">
        <v>0</v>
      </c>
    </row>
    <row r="159" spans="2:10" x14ac:dyDescent="0.25">
      <c r="B159" s="230" t="s">
        <v>162</v>
      </c>
      <c r="C159" s="229">
        <f>+'Cruise Ships'!M48</f>
        <v>6</v>
      </c>
      <c r="D159" s="229">
        <f>+'Cruise Ships'!M49</f>
        <v>1462</v>
      </c>
      <c r="E159" s="229">
        <f>D159/C159</f>
        <v>243.66666666666666</v>
      </c>
      <c r="G159" s="230" t="s">
        <v>162</v>
      </c>
      <c r="H159" s="229">
        <f>+'Cruise Ships'!M52</f>
        <v>1</v>
      </c>
      <c r="I159" s="229">
        <f>+'Cruise Ships'!M53</f>
        <v>106</v>
      </c>
      <c r="J159" s="229">
        <f>I159/H159</f>
        <v>106</v>
      </c>
    </row>
    <row r="160" spans="2:10" x14ac:dyDescent="0.25">
      <c r="B160" s="230" t="s">
        <v>163</v>
      </c>
      <c r="C160" s="229">
        <f>+'Cruise Ships'!N48</f>
        <v>7</v>
      </c>
      <c r="D160" s="229">
        <f>+'Cruise Ships'!N49</f>
        <v>1046</v>
      </c>
      <c r="E160" s="229">
        <v>0</v>
      </c>
      <c r="G160" s="230" t="s">
        <v>163</v>
      </c>
      <c r="H160" s="229">
        <f>+'Cruise Ships'!N52</f>
        <v>4</v>
      </c>
      <c r="I160" s="229">
        <f>+'Cruise Ships'!N53</f>
        <v>493</v>
      </c>
      <c r="J160" s="229">
        <v>0</v>
      </c>
    </row>
    <row r="161" spans="2:10" ht="15.75" thickBot="1" x14ac:dyDescent="0.3">
      <c r="B161" s="240" t="s">
        <v>164</v>
      </c>
      <c r="C161" s="241">
        <f>SUM(C158:C160)</f>
        <v>13</v>
      </c>
      <c r="D161" s="241">
        <f>SUM(D158:D160)</f>
        <v>2508</v>
      </c>
      <c r="E161" s="241">
        <f>SUM(E158:E160)</f>
        <v>243.66666666666666</v>
      </c>
      <c r="G161" s="240" t="s">
        <v>164</v>
      </c>
      <c r="H161" s="241">
        <f>SUM(H158:H160)</f>
        <v>5</v>
      </c>
      <c r="I161" s="241">
        <f>SUM(I158:I160)</f>
        <v>599</v>
      </c>
      <c r="J161" s="241">
        <f>SUM(J158:J160)</f>
        <v>106</v>
      </c>
    </row>
    <row r="162" spans="2:10" ht="15.75" thickBot="1" x14ac:dyDescent="0.3">
      <c r="B162" s="236" t="s">
        <v>7</v>
      </c>
      <c r="C162" s="225">
        <f>C149+C153+C157+C161</f>
        <v>44</v>
      </c>
      <c r="D162" s="225">
        <f>D149+D153+D157+D161</f>
        <v>6817</v>
      </c>
      <c r="E162" s="225">
        <f>E149+E153+E157+E161</f>
        <v>455.93333333333334</v>
      </c>
      <c r="G162" s="236" t="s">
        <v>7</v>
      </c>
      <c r="H162" s="225">
        <f>H149+H153+H157+H161</f>
        <v>25</v>
      </c>
      <c r="I162" s="225">
        <f>I149+I153+I157+I161</f>
        <v>3300</v>
      </c>
      <c r="J162" s="225">
        <f>J149+J153+J157+J161</f>
        <v>343.84210526315792</v>
      </c>
    </row>
    <row r="163" spans="2:10" ht="15.75" thickBot="1" x14ac:dyDescent="0.3">
      <c r="B163" s="237" t="s">
        <v>165</v>
      </c>
      <c r="C163" s="225">
        <f>C162/12</f>
        <v>3.6666666666666665</v>
      </c>
      <c r="D163" s="238">
        <f>D162/12</f>
        <v>568.08333333333337</v>
      </c>
      <c r="E163" s="225">
        <f>D163/C163</f>
        <v>154.93181818181819</v>
      </c>
      <c r="G163" s="237" t="s">
        <v>165</v>
      </c>
      <c r="H163" s="225">
        <f>H162/12</f>
        <v>2.0833333333333335</v>
      </c>
      <c r="I163" s="238">
        <f>I162/12</f>
        <v>275</v>
      </c>
      <c r="J163" s="225">
        <f>I163/H163</f>
        <v>132</v>
      </c>
    </row>
    <row r="166" spans="2:10" x14ac:dyDescent="0.25">
      <c r="B166" s="355" t="s">
        <v>190</v>
      </c>
      <c r="C166" s="355"/>
      <c r="D166" s="355"/>
      <c r="E166" s="355"/>
    </row>
    <row r="167" spans="2:10" ht="15.75" thickBot="1" x14ac:dyDescent="0.3"/>
    <row r="168" spans="2:10" ht="30" thickBot="1" x14ac:dyDescent="0.3">
      <c r="B168" s="225" t="s">
        <v>25</v>
      </c>
      <c r="C168" s="225" t="s">
        <v>153</v>
      </c>
      <c r="D168" s="226" t="s">
        <v>154</v>
      </c>
      <c r="E168" s="226" t="s">
        <v>155</v>
      </c>
    </row>
    <row r="169" spans="2:10" x14ac:dyDescent="0.25">
      <c r="B169" s="230" t="s">
        <v>156</v>
      </c>
      <c r="C169" s="229">
        <f>+'Cruise Ships'!C56</f>
        <v>4</v>
      </c>
      <c r="D169" s="229">
        <f>+'Cruise Ships'!C57</f>
        <v>747</v>
      </c>
      <c r="E169" s="229">
        <f>D169/C169</f>
        <v>186.75</v>
      </c>
    </row>
    <row r="170" spans="2:10" x14ac:dyDescent="0.25">
      <c r="B170" s="230" t="s">
        <v>157</v>
      </c>
      <c r="C170" s="229">
        <f>+'Cruise Ships'!D56</f>
        <v>7</v>
      </c>
      <c r="D170" s="229">
        <f>+'Cruise Ships'!D57</f>
        <v>1215</v>
      </c>
      <c r="E170" s="229">
        <f>D170/C170</f>
        <v>173.57142857142858</v>
      </c>
    </row>
    <row r="171" spans="2:10" x14ac:dyDescent="0.25">
      <c r="B171" s="230" t="s">
        <v>11</v>
      </c>
      <c r="C171" s="229">
        <f>+'Cruise Ships'!E56</f>
        <v>0</v>
      </c>
      <c r="D171" s="229">
        <f>+'Cruise Ships'!E57</f>
        <v>0</v>
      </c>
      <c r="E171" s="229" t="e">
        <f>D171/C171</f>
        <v>#DIV/0!</v>
      </c>
    </row>
    <row r="172" spans="2:10" x14ac:dyDescent="0.25">
      <c r="B172" s="240" t="s">
        <v>158</v>
      </c>
      <c r="C172" s="241">
        <f>SUM(C169:C171)</f>
        <v>11</v>
      </c>
      <c r="D172" s="241">
        <f>SUM(D169:D171)</f>
        <v>1962</v>
      </c>
      <c r="E172" s="241">
        <f>+D172/C172</f>
        <v>178.36363636363637</v>
      </c>
    </row>
    <row r="173" spans="2:10" x14ac:dyDescent="0.25">
      <c r="B173" s="230" t="s">
        <v>13</v>
      </c>
      <c r="C173" s="229">
        <f>+'Cruise Ships'!F56</f>
        <v>2</v>
      </c>
      <c r="D173" s="229">
        <f>+'Cruise Ships'!F57</f>
        <v>556</v>
      </c>
      <c r="E173" s="229">
        <f>D173/C173</f>
        <v>278</v>
      </c>
    </row>
    <row r="174" spans="2:10" x14ac:dyDescent="0.25">
      <c r="B174" s="230" t="s">
        <v>14</v>
      </c>
      <c r="C174" s="229">
        <f>+'Cruise Ships'!G56</f>
        <v>0</v>
      </c>
      <c r="D174" s="229">
        <f>+'Cruise Ships'!G57</f>
        <v>0</v>
      </c>
      <c r="E174" s="229">
        <v>0</v>
      </c>
    </row>
    <row r="175" spans="2:10" x14ac:dyDescent="0.25">
      <c r="B175" s="230" t="s">
        <v>15</v>
      </c>
      <c r="C175" s="229">
        <f>+'Cruise Ships'!H56</f>
        <v>0</v>
      </c>
      <c r="D175" s="229">
        <f>+'Cruise Ships'!H57</f>
        <v>0</v>
      </c>
      <c r="E175" s="229">
        <v>0</v>
      </c>
    </row>
    <row r="176" spans="2:10" x14ac:dyDescent="0.25">
      <c r="B176" s="240" t="s">
        <v>16</v>
      </c>
      <c r="C176" s="241">
        <f>SUM(C173:C175)</f>
        <v>2</v>
      </c>
      <c r="D176" s="241">
        <f>SUM(D173:D175)</f>
        <v>556</v>
      </c>
      <c r="E176" s="242">
        <f>+D176/C176</f>
        <v>278</v>
      </c>
    </row>
    <row r="177" spans="2:5" x14ac:dyDescent="0.25">
      <c r="B177" s="230" t="s">
        <v>17</v>
      </c>
      <c r="C177" s="229">
        <f>+'Cruise Ships'!I56</f>
        <v>0</v>
      </c>
      <c r="D177" s="229">
        <f>+'Cruise Ships'!I57</f>
        <v>0</v>
      </c>
      <c r="E177" s="229">
        <v>0</v>
      </c>
    </row>
    <row r="178" spans="2:5" x14ac:dyDescent="0.25">
      <c r="B178" s="230" t="s">
        <v>18</v>
      </c>
      <c r="C178" s="229">
        <f>+'Cruise Ships'!J56</f>
        <v>0</v>
      </c>
      <c r="D178" s="229">
        <f>+'Cruise Ships'!J57</f>
        <v>0</v>
      </c>
      <c r="E178" s="229">
        <v>0</v>
      </c>
    </row>
    <row r="179" spans="2:5" x14ac:dyDescent="0.25">
      <c r="B179" s="230" t="s">
        <v>159</v>
      </c>
      <c r="C179" s="229">
        <f>+'Cruise Ships'!K56</f>
        <v>0</v>
      </c>
      <c r="D179" s="229">
        <f>+'Cruise Ships'!K57</f>
        <v>0</v>
      </c>
      <c r="E179" s="229">
        <v>0</v>
      </c>
    </row>
    <row r="180" spans="2:5" x14ac:dyDescent="0.25">
      <c r="B180" s="240" t="s">
        <v>160</v>
      </c>
      <c r="C180" s="241">
        <f>SUM(C177:C179)</f>
        <v>0</v>
      </c>
      <c r="D180" s="241">
        <f>SUM(D177:D179)</f>
        <v>0</v>
      </c>
      <c r="E180" s="242">
        <f>SUM(E177:E179)</f>
        <v>0</v>
      </c>
    </row>
    <row r="181" spans="2:5" x14ac:dyDescent="0.25">
      <c r="B181" s="230" t="s">
        <v>161</v>
      </c>
      <c r="C181" s="229">
        <f>+'Cruise Ships'!L56</f>
        <v>0</v>
      </c>
      <c r="D181" s="229">
        <f>+'Cruise Ships'!L57</f>
        <v>0</v>
      </c>
      <c r="E181" s="229">
        <v>0</v>
      </c>
    </row>
    <row r="182" spans="2:5" x14ac:dyDescent="0.25">
      <c r="B182" s="230" t="s">
        <v>162</v>
      </c>
      <c r="C182" s="229">
        <f>+'Cruise Ships'!M56</f>
        <v>0</v>
      </c>
      <c r="D182" s="229">
        <f>+'Cruise Ships'!M57</f>
        <v>0</v>
      </c>
      <c r="E182" s="229" t="e">
        <f>D182/C182</f>
        <v>#DIV/0!</v>
      </c>
    </row>
    <row r="183" spans="2:5" x14ac:dyDescent="0.25">
      <c r="B183" s="230" t="s">
        <v>163</v>
      </c>
      <c r="C183" s="229">
        <f>+'Cruise Ships'!N56</f>
        <v>0</v>
      </c>
      <c r="D183" s="229">
        <f>+'Cruise Ships'!N57</f>
        <v>0</v>
      </c>
      <c r="E183" s="229">
        <v>0</v>
      </c>
    </row>
    <row r="184" spans="2:5" ht="15.75" thickBot="1" x14ac:dyDescent="0.3">
      <c r="B184" s="240" t="s">
        <v>164</v>
      </c>
      <c r="C184" s="241">
        <f>SUM(C181:C183)</f>
        <v>0</v>
      </c>
      <c r="D184" s="241">
        <f>SUM(D181:D183)</f>
        <v>0</v>
      </c>
      <c r="E184" s="241" t="e">
        <f>SUM(E181:E183)</f>
        <v>#DIV/0!</v>
      </c>
    </row>
    <row r="185" spans="2:5" ht="15.75" thickBot="1" x14ac:dyDescent="0.3">
      <c r="B185" s="236" t="s">
        <v>7</v>
      </c>
      <c r="C185" s="225">
        <f>C172+C176+C180+C184</f>
        <v>13</v>
      </c>
      <c r="D185" s="225">
        <f>D172+D176+D180+D184</f>
        <v>2518</v>
      </c>
      <c r="E185" s="225" t="e">
        <f>E172+E176+E180+E184</f>
        <v>#DIV/0!</v>
      </c>
    </row>
    <row r="186" spans="2:5" ht="15.75" thickBot="1" x14ac:dyDescent="0.3">
      <c r="B186" s="237" t="s">
        <v>165</v>
      </c>
      <c r="C186" s="225">
        <f>C185/12</f>
        <v>1.0833333333333333</v>
      </c>
      <c r="D186" s="238">
        <f>D185/12</f>
        <v>209.83333333333334</v>
      </c>
      <c r="E186" s="225">
        <f>D186/C186</f>
        <v>193.69230769230771</v>
      </c>
    </row>
  </sheetData>
  <mergeCells count="18">
    <mergeCell ref="B166:E166"/>
    <mergeCell ref="B120:E120"/>
    <mergeCell ref="G120:J120"/>
    <mergeCell ref="B143:E143"/>
    <mergeCell ref="B51:E51"/>
    <mergeCell ref="G51:J51"/>
    <mergeCell ref="B74:E74"/>
    <mergeCell ref="G74:J74"/>
    <mergeCell ref="B97:E97"/>
    <mergeCell ref="G97:J97"/>
    <mergeCell ref="G143:J143"/>
    <mergeCell ref="B2:J2"/>
    <mergeCell ref="B5:E5"/>
    <mergeCell ref="G5:J5"/>
    <mergeCell ref="G26:I26"/>
    <mergeCell ref="L26:N26"/>
    <mergeCell ref="B28:E28"/>
    <mergeCell ref="G28:J28"/>
  </mergeCells>
  <pageMargins left="0.52" right="0.09" top="0.23" bottom="0.28999999999999998" header="0.17" footer="0.17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pane xSplit="2" ySplit="5" topLeftCell="C53" activePane="bottomRight" state="frozen"/>
      <selection activeCell="AI231" sqref="AI231"/>
      <selection pane="topRight" activeCell="AI231" sqref="AI231"/>
      <selection pane="bottomLeft" activeCell="AI231" sqref="AI231"/>
      <selection pane="bottomRight" activeCell="G61" sqref="G61"/>
    </sheetView>
  </sheetViews>
  <sheetFormatPr defaultRowHeight="15.75" x14ac:dyDescent="0.25"/>
  <cols>
    <col min="1" max="1" width="8.109375" style="199" customWidth="1"/>
    <col min="2" max="2" width="17.5546875" style="199" customWidth="1"/>
    <col min="3" max="10" width="6.109375" style="199" customWidth="1"/>
    <col min="11" max="11" width="6" style="199" customWidth="1"/>
    <col min="12" max="14" width="6.109375" style="199" customWidth="1"/>
    <col min="15" max="15" width="6.5546875" style="199" customWidth="1"/>
    <col min="16" max="16384" width="8.88671875" style="199"/>
  </cols>
  <sheetData>
    <row r="1" spans="1:15" x14ac:dyDescent="0.25">
      <c r="A1" s="361" t="s">
        <v>215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4" spans="1:15" ht="16.5" thickBot="1" x14ac:dyDescent="0.3"/>
    <row r="5" spans="1:15" ht="16.5" thickBot="1" x14ac:dyDescent="0.3">
      <c r="C5" s="200" t="s">
        <v>9</v>
      </c>
      <c r="D5" s="201" t="s">
        <v>10</v>
      </c>
      <c r="E5" s="201" t="s">
        <v>47</v>
      </c>
      <c r="F5" s="201" t="s">
        <v>48</v>
      </c>
      <c r="G5" s="201" t="s">
        <v>14</v>
      </c>
      <c r="H5" s="201" t="s">
        <v>49</v>
      </c>
      <c r="I5" s="201" t="s">
        <v>50</v>
      </c>
      <c r="J5" s="201" t="s">
        <v>51</v>
      </c>
      <c r="K5" s="201" t="s">
        <v>144</v>
      </c>
      <c r="L5" s="201" t="s">
        <v>21</v>
      </c>
      <c r="M5" s="201" t="s">
        <v>22</v>
      </c>
      <c r="N5" s="202" t="s">
        <v>23</v>
      </c>
      <c r="O5" s="203" t="s">
        <v>31</v>
      </c>
    </row>
    <row r="6" spans="1:15" x14ac:dyDescent="0.25">
      <c r="A6" s="358">
        <v>2003</v>
      </c>
      <c r="B6" s="204" t="s">
        <v>145</v>
      </c>
      <c r="C6" s="205">
        <v>4</v>
      </c>
      <c r="D6" s="206">
        <v>3</v>
      </c>
      <c r="E6" s="206">
        <v>17</v>
      </c>
      <c r="F6" s="206">
        <v>13</v>
      </c>
      <c r="G6" s="206">
        <v>15</v>
      </c>
      <c r="H6" s="206">
        <v>5</v>
      </c>
      <c r="I6" s="206">
        <v>2</v>
      </c>
      <c r="J6" s="206">
        <v>7</v>
      </c>
      <c r="K6" s="206">
        <v>0</v>
      </c>
      <c r="L6" s="206">
        <v>7</v>
      </c>
      <c r="M6" s="206">
        <v>5</v>
      </c>
      <c r="N6" s="206">
        <v>14</v>
      </c>
      <c r="O6" s="207">
        <f>SUM(C6:N6)</f>
        <v>92</v>
      </c>
    </row>
    <row r="7" spans="1:15" x14ac:dyDescent="0.25">
      <c r="A7" s="359"/>
      <c r="B7" s="208" t="s">
        <v>146</v>
      </c>
      <c r="C7" s="209">
        <v>453</v>
      </c>
      <c r="D7" s="210">
        <v>269</v>
      </c>
      <c r="E7" s="210">
        <v>660</v>
      </c>
      <c r="F7" s="210">
        <v>242</v>
      </c>
      <c r="G7" s="210">
        <v>356</v>
      </c>
      <c r="H7" s="210">
        <v>12</v>
      </c>
      <c r="I7" s="210">
        <v>0</v>
      </c>
      <c r="J7" s="210">
        <v>107</v>
      </c>
      <c r="K7" s="210">
        <v>0</v>
      </c>
      <c r="L7" s="210">
        <v>35</v>
      </c>
      <c r="M7" s="210">
        <v>363</v>
      </c>
      <c r="N7" s="210">
        <v>1374</v>
      </c>
      <c r="O7" s="211">
        <f>SUM(C7:N7)</f>
        <v>3871</v>
      </c>
    </row>
    <row r="8" spans="1:15" ht="16.5" thickBot="1" x14ac:dyDescent="0.3">
      <c r="A8" s="360"/>
      <c r="B8" s="212" t="s">
        <v>147</v>
      </c>
      <c r="C8" s="213">
        <f>+C7/C6</f>
        <v>113.25</v>
      </c>
      <c r="D8" s="214">
        <f t="shared" ref="D8:N8" si="0">+D7/D6</f>
        <v>89.666666666666671</v>
      </c>
      <c r="E8" s="214">
        <f t="shared" si="0"/>
        <v>38.823529411764703</v>
      </c>
      <c r="F8" s="214">
        <f t="shared" si="0"/>
        <v>18.615384615384617</v>
      </c>
      <c r="G8" s="214">
        <f t="shared" si="0"/>
        <v>23.733333333333334</v>
      </c>
      <c r="H8" s="214">
        <f t="shared" si="0"/>
        <v>2.4</v>
      </c>
      <c r="I8" s="214">
        <f t="shared" si="0"/>
        <v>0</v>
      </c>
      <c r="J8" s="214">
        <f t="shared" si="0"/>
        <v>15.285714285714286</v>
      </c>
      <c r="K8" s="214">
        <v>0</v>
      </c>
      <c r="L8" s="214">
        <f t="shared" si="0"/>
        <v>5</v>
      </c>
      <c r="M8" s="214">
        <f t="shared" si="0"/>
        <v>72.599999999999994</v>
      </c>
      <c r="N8" s="214">
        <f t="shared" si="0"/>
        <v>98.142857142857139</v>
      </c>
      <c r="O8" s="215">
        <f>+O7/O6</f>
        <v>42.076086956521742</v>
      </c>
    </row>
    <row r="9" spans="1:15" x14ac:dyDescent="0.25">
      <c r="A9" s="358">
        <v>2004</v>
      </c>
      <c r="B9" s="204" t="s">
        <v>145</v>
      </c>
      <c r="C9" s="205">
        <v>11</v>
      </c>
      <c r="D9" s="206">
        <v>7</v>
      </c>
      <c r="E9" s="206">
        <v>6</v>
      </c>
      <c r="F9" s="206">
        <v>4</v>
      </c>
      <c r="G9" s="206">
        <v>1</v>
      </c>
      <c r="H9" s="206">
        <v>1</v>
      </c>
      <c r="I9" s="206">
        <v>0</v>
      </c>
      <c r="J9" s="206">
        <v>0</v>
      </c>
      <c r="K9" s="206">
        <v>0</v>
      </c>
      <c r="L9" s="206">
        <v>0</v>
      </c>
      <c r="M9" s="206">
        <v>1</v>
      </c>
      <c r="N9" s="206">
        <v>3</v>
      </c>
      <c r="O9" s="211">
        <f t="shared" ref="O9:O20" si="1">SUM(C9:N9)</f>
        <v>34</v>
      </c>
    </row>
    <row r="10" spans="1:15" x14ac:dyDescent="0.25">
      <c r="A10" s="359"/>
      <c r="B10" s="208" t="s">
        <v>146</v>
      </c>
      <c r="C10" s="209">
        <v>1183</v>
      </c>
      <c r="D10" s="210">
        <v>1461</v>
      </c>
      <c r="E10" s="210">
        <v>1396</v>
      </c>
      <c r="F10" s="210">
        <v>906</v>
      </c>
      <c r="G10" s="210">
        <v>210</v>
      </c>
      <c r="H10" s="210">
        <v>408</v>
      </c>
      <c r="I10" s="210">
        <v>0</v>
      </c>
      <c r="J10" s="210">
        <v>0</v>
      </c>
      <c r="K10" s="210">
        <v>0</v>
      </c>
      <c r="L10" s="210">
        <v>0</v>
      </c>
      <c r="M10" s="210">
        <v>259</v>
      </c>
      <c r="N10" s="210">
        <v>560</v>
      </c>
      <c r="O10" s="211">
        <f t="shared" si="1"/>
        <v>6383</v>
      </c>
    </row>
    <row r="11" spans="1:15" ht="16.5" thickBot="1" x14ac:dyDescent="0.3">
      <c r="A11" s="360"/>
      <c r="B11" s="212" t="s">
        <v>147</v>
      </c>
      <c r="C11" s="213">
        <f t="shared" ref="C11:H11" si="2">+C10/C9</f>
        <v>107.54545454545455</v>
      </c>
      <c r="D11" s="214">
        <f t="shared" si="2"/>
        <v>208.71428571428572</v>
      </c>
      <c r="E11" s="214">
        <f t="shared" si="2"/>
        <v>232.66666666666666</v>
      </c>
      <c r="F11" s="214">
        <f t="shared" si="2"/>
        <v>226.5</v>
      </c>
      <c r="G11" s="214">
        <f t="shared" si="2"/>
        <v>210</v>
      </c>
      <c r="H11" s="214">
        <f t="shared" si="2"/>
        <v>408</v>
      </c>
      <c r="I11" s="214">
        <v>0</v>
      </c>
      <c r="J11" s="214">
        <v>0</v>
      </c>
      <c r="K11" s="214">
        <v>0</v>
      </c>
      <c r="L11" s="214">
        <v>0</v>
      </c>
      <c r="M11" s="214">
        <f>+M10/M9</f>
        <v>259</v>
      </c>
      <c r="N11" s="214">
        <f>+N10/N9</f>
        <v>186.66666666666666</v>
      </c>
      <c r="O11" s="215">
        <f>+O10/O9</f>
        <v>187.73529411764707</v>
      </c>
    </row>
    <row r="12" spans="1:15" x14ac:dyDescent="0.25">
      <c r="A12" s="358">
        <v>2005</v>
      </c>
      <c r="B12" s="204" t="s">
        <v>145</v>
      </c>
      <c r="C12" s="205">
        <v>6</v>
      </c>
      <c r="D12" s="206">
        <v>5</v>
      </c>
      <c r="E12" s="206">
        <v>7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2</v>
      </c>
      <c r="L12" s="206">
        <v>0</v>
      </c>
      <c r="M12" s="206">
        <v>0</v>
      </c>
      <c r="N12" s="206">
        <v>6</v>
      </c>
      <c r="O12" s="207">
        <f t="shared" si="1"/>
        <v>26</v>
      </c>
    </row>
    <row r="13" spans="1:15" x14ac:dyDescent="0.25">
      <c r="A13" s="359"/>
      <c r="B13" s="208" t="s">
        <v>146</v>
      </c>
      <c r="C13" s="209">
        <v>1540</v>
      </c>
      <c r="D13" s="210">
        <v>939</v>
      </c>
      <c r="E13" s="210">
        <v>976</v>
      </c>
      <c r="F13" s="210">
        <v>0</v>
      </c>
      <c r="G13" s="210">
        <v>0</v>
      </c>
      <c r="H13" s="210">
        <v>0</v>
      </c>
      <c r="I13" s="210">
        <v>0</v>
      </c>
      <c r="J13" s="210">
        <v>0</v>
      </c>
      <c r="K13" s="210">
        <v>138</v>
      </c>
      <c r="L13" s="210">
        <v>0</v>
      </c>
      <c r="M13" s="210">
        <v>0</v>
      </c>
      <c r="N13" s="210">
        <v>1764</v>
      </c>
      <c r="O13" s="211">
        <f t="shared" si="1"/>
        <v>5357</v>
      </c>
    </row>
    <row r="14" spans="1:15" ht="16.5" thickBot="1" x14ac:dyDescent="0.3">
      <c r="A14" s="360"/>
      <c r="B14" s="212" t="s">
        <v>147</v>
      </c>
      <c r="C14" s="213">
        <f>+C13/C12</f>
        <v>256.66666666666669</v>
      </c>
      <c r="D14" s="214">
        <f>+D13/D12</f>
        <v>187.8</v>
      </c>
      <c r="E14" s="214">
        <f>+E13/E12</f>
        <v>139.42857142857142</v>
      </c>
      <c r="F14" s="214">
        <v>0</v>
      </c>
      <c r="G14" s="214">
        <v>0</v>
      </c>
      <c r="H14" s="214">
        <v>0</v>
      </c>
      <c r="I14" s="214">
        <v>0</v>
      </c>
      <c r="J14" s="214">
        <v>0</v>
      </c>
      <c r="K14" s="214">
        <f>+K13/K12</f>
        <v>69</v>
      </c>
      <c r="L14" s="214">
        <v>0</v>
      </c>
      <c r="M14" s="214">
        <v>0</v>
      </c>
      <c r="N14" s="214">
        <f>+N13/N12</f>
        <v>294</v>
      </c>
      <c r="O14" s="215">
        <f>+O13/O12</f>
        <v>206.03846153846155</v>
      </c>
    </row>
    <row r="15" spans="1:15" x14ac:dyDescent="0.25">
      <c r="A15" s="358">
        <v>2006</v>
      </c>
      <c r="B15" s="204" t="s">
        <v>145</v>
      </c>
      <c r="C15" s="205">
        <v>5</v>
      </c>
      <c r="D15" s="206">
        <v>6</v>
      </c>
      <c r="E15" s="206">
        <v>7</v>
      </c>
      <c r="F15" s="206">
        <v>4</v>
      </c>
      <c r="G15" s="206">
        <v>2</v>
      </c>
      <c r="H15" s="206">
        <v>0</v>
      </c>
      <c r="I15" s="206">
        <v>0</v>
      </c>
      <c r="J15" s="206">
        <v>1</v>
      </c>
      <c r="K15" s="206"/>
      <c r="L15" s="206"/>
      <c r="M15" s="206">
        <v>5</v>
      </c>
      <c r="N15" s="206">
        <v>14</v>
      </c>
      <c r="O15" s="211">
        <f t="shared" si="1"/>
        <v>44</v>
      </c>
    </row>
    <row r="16" spans="1:15" x14ac:dyDescent="0.25">
      <c r="A16" s="359"/>
      <c r="B16" s="208" t="s">
        <v>146</v>
      </c>
      <c r="C16" s="209">
        <v>1630</v>
      </c>
      <c r="D16" s="210">
        <v>927</v>
      </c>
      <c r="E16" s="210">
        <v>1141</v>
      </c>
      <c r="F16" s="210">
        <v>415</v>
      </c>
      <c r="G16" s="210">
        <v>255</v>
      </c>
      <c r="H16" s="210">
        <v>0</v>
      </c>
      <c r="I16" s="210">
        <v>0</v>
      </c>
      <c r="J16" s="210">
        <v>68</v>
      </c>
      <c r="K16" s="210"/>
      <c r="L16" s="210"/>
      <c r="M16" s="210">
        <f>99+93+97+112+82</f>
        <v>483</v>
      </c>
      <c r="N16" s="210">
        <f>140+138+82+53+81+94+66+47+195+44+108+247+136+123</f>
        <v>1554</v>
      </c>
      <c r="O16" s="211">
        <f t="shared" si="1"/>
        <v>6473</v>
      </c>
    </row>
    <row r="17" spans="1:15" ht="16.5" thickBot="1" x14ac:dyDescent="0.3">
      <c r="A17" s="360"/>
      <c r="B17" s="212" t="s">
        <v>147</v>
      </c>
      <c r="C17" s="213">
        <f>+C16/C15</f>
        <v>326</v>
      </c>
      <c r="D17" s="214">
        <f>+D16/D15</f>
        <v>154.5</v>
      </c>
      <c r="E17" s="214">
        <f>+E16/E15</f>
        <v>163</v>
      </c>
      <c r="F17" s="214">
        <f>+F16/F15</f>
        <v>103.75</v>
      </c>
      <c r="G17" s="214">
        <f>+G16/G15</f>
        <v>127.5</v>
      </c>
      <c r="H17" s="214">
        <v>0</v>
      </c>
      <c r="I17" s="214">
        <v>0</v>
      </c>
      <c r="J17" s="214">
        <f>+J16/J15</f>
        <v>68</v>
      </c>
      <c r="K17" s="214"/>
      <c r="L17" s="214"/>
      <c r="M17" s="214">
        <f>+M16/M15</f>
        <v>96.6</v>
      </c>
      <c r="N17" s="214">
        <f>+N16/N15</f>
        <v>111</v>
      </c>
      <c r="O17" s="215">
        <f>+O16/O15</f>
        <v>147.11363636363637</v>
      </c>
    </row>
    <row r="18" spans="1:15" x14ac:dyDescent="0.25">
      <c r="A18" s="358">
        <v>2007</v>
      </c>
      <c r="B18" s="204" t="s">
        <v>145</v>
      </c>
      <c r="C18" s="205">
        <v>13</v>
      </c>
      <c r="D18" s="206">
        <v>8</v>
      </c>
      <c r="E18" s="206">
        <v>14</v>
      </c>
      <c r="F18" s="206">
        <v>2</v>
      </c>
      <c r="G18" s="206"/>
      <c r="H18" s="206"/>
      <c r="I18" s="206"/>
      <c r="J18" s="206"/>
      <c r="K18" s="206"/>
      <c r="L18" s="206"/>
      <c r="M18" s="206"/>
      <c r="N18" s="206"/>
      <c r="O18" s="207">
        <f t="shared" si="1"/>
        <v>37</v>
      </c>
    </row>
    <row r="19" spans="1:15" x14ac:dyDescent="0.25">
      <c r="A19" s="359"/>
      <c r="B19" s="208" t="s">
        <v>146</v>
      </c>
      <c r="C19" s="209">
        <v>1511</v>
      </c>
      <c r="D19" s="210">
        <v>889</v>
      </c>
      <c r="E19" s="210">
        <v>1619</v>
      </c>
      <c r="F19" s="210">
        <f>151+154</f>
        <v>305</v>
      </c>
      <c r="G19" s="210"/>
      <c r="H19" s="210"/>
      <c r="I19" s="210"/>
      <c r="J19" s="210"/>
      <c r="K19" s="210"/>
      <c r="L19" s="210"/>
      <c r="M19" s="210"/>
      <c r="N19" s="210"/>
      <c r="O19" s="211">
        <f t="shared" si="1"/>
        <v>4324</v>
      </c>
    </row>
    <row r="20" spans="1:15" ht="16.5" thickBot="1" x14ac:dyDescent="0.3">
      <c r="A20" s="360"/>
      <c r="B20" s="212" t="s">
        <v>147</v>
      </c>
      <c r="C20" s="213">
        <f>+C19/C18</f>
        <v>116.23076923076923</v>
      </c>
      <c r="D20" s="214">
        <f>+D19/D18</f>
        <v>111.125</v>
      </c>
      <c r="E20" s="214">
        <f>+E19/E18</f>
        <v>115.64285714285714</v>
      </c>
      <c r="F20" s="214">
        <f>+F19/F18</f>
        <v>152.5</v>
      </c>
      <c r="G20" s="214"/>
      <c r="H20" s="214"/>
      <c r="I20" s="214"/>
      <c r="J20" s="214"/>
      <c r="K20" s="214"/>
      <c r="L20" s="214"/>
      <c r="M20" s="214"/>
      <c r="N20" s="214"/>
      <c r="O20" s="215">
        <f t="shared" si="1"/>
        <v>495.49862637362639</v>
      </c>
    </row>
    <row r="21" spans="1:15" x14ac:dyDescent="0.25">
      <c r="A21" s="358">
        <v>2008</v>
      </c>
      <c r="B21" s="204" t="s">
        <v>145</v>
      </c>
      <c r="C21" s="205"/>
      <c r="D21" s="206"/>
      <c r="E21" s="206"/>
      <c r="F21" s="206"/>
      <c r="G21" s="206"/>
      <c r="H21" s="206"/>
      <c r="I21" s="206"/>
      <c r="J21" s="206"/>
      <c r="K21" s="206"/>
      <c r="L21" s="206"/>
      <c r="M21" s="206">
        <v>1</v>
      </c>
      <c r="N21" s="206">
        <v>1</v>
      </c>
      <c r="O21" s="207">
        <f>SUM(C21:N21)</f>
        <v>2</v>
      </c>
    </row>
    <row r="22" spans="1:15" x14ac:dyDescent="0.25">
      <c r="A22" s="359"/>
      <c r="B22" s="208" t="s">
        <v>146</v>
      </c>
      <c r="C22" s="209"/>
      <c r="D22" s="210"/>
      <c r="E22" s="210"/>
      <c r="F22" s="210"/>
      <c r="G22" s="210"/>
      <c r="H22" s="210"/>
      <c r="I22" s="210"/>
      <c r="J22" s="210"/>
      <c r="K22" s="210"/>
      <c r="L22" s="210"/>
      <c r="M22" s="210">
        <v>131</v>
      </c>
      <c r="N22" s="210">
        <v>354</v>
      </c>
      <c r="O22" s="211">
        <f>SUM(C22:N22)</f>
        <v>485</v>
      </c>
    </row>
    <row r="23" spans="1:15" ht="16.5" thickBot="1" x14ac:dyDescent="0.3">
      <c r="A23" s="360"/>
      <c r="B23" s="212" t="s">
        <v>147</v>
      </c>
      <c r="C23" s="213"/>
      <c r="D23" s="214"/>
      <c r="E23" s="214"/>
      <c r="F23" s="214"/>
      <c r="G23" s="214"/>
      <c r="H23" s="214"/>
      <c r="I23" s="214"/>
      <c r="J23" s="214"/>
      <c r="K23" s="214"/>
      <c r="L23" s="214"/>
      <c r="M23" s="214">
        <v>201</v>
      </c>
      <c r="N23" s="214">
        <v>207</v>
      </c>
      <c r="O23" s="215">
        <f>SUM(C23:N23)</f>
        <v>408</v>
      </c>
    </row>
    <row r="24" spans="1:15" x14ac:dyDescent="0.25">
      <c r="A24" s="358">
        <v>2009</v>
      </c>
      <c r="B24" s="204" t="s">
        <v>145</v>
      </c>
      <c r="C24" s="205">
        <v>6</v>
      </c>
      <c r="D24" s="206">
        <v>3</v>
      </c>
      <c r="E24" s="206">
        <v>3</v>
      </c>
      <c r="F24" s="206">
        <v>3</v>
      </c>
      <c r="G24" s="206">
        <v>1</v>
      </c>
      <c r="H24" s="206"/>
      <c r="I24" s="206"/>
      <c r="J24" s="206"/>
      <c r="K24" s="206"/>
      <c r="L24" s="206"/>
      <c r="M24" s="206">
        <v>1</v>
      </c>
      <c r="N24" s="216">
        <v>5</v>
      </c>
      <c r="O24" s="207">
        <f t="shared" ref="O24:O47" si="3">SUM(C24:N24)</f>
        <v>22</v>
      </c>
    </row>
    <row r="25" spans="1:15" x14ac:dyDescent="0.25">
      <c r="A25" s="359"/>
      <c r="B25" s="208" t="s">
        <v>146</v>
      </c>
      <c r="C25" s="209">
        <f>38+109+100+104+103+96</f>
        <v>550</v>
      </c>
      <c r="D25" s="210">
        <f>310+185+83</f>
        <v>578</v>
      </c>
      <c r="E25" s="210">
        <f>41+63+244</f>
        <v>348</v>
      </c>
      <c r="F25" s="210">
        <f>94+93+13</f>
        <v>200</v>
      </c>
      <c r="G25" s="210">
        <v>76</v>
      </c>
      <c r="H25" s="210"/>
      <c r="I25" s="210"/>
      <c r="J25" s="210"/>
      <c r="K25" s="210"/>
      <c r="L25" s="210"/>
      <c r="M25" s="210">
        <f>55+53</f>
        <v>108</v>
      </c>
      <c r="N25" s="217">
        <f>60+96+61+109+141</f>
        <v>467</v>
      </c>
      <c r="O25" s="211">
        <f t="shared" si="3"/>
        <v>2327</v>
      </c>
    </row>
    <row r="26" spans="1:15" x14ac:dyDescent="0.25">
      <c r="A26" s="359"/>
      <c r="B26" s="208" t="s">
        <v>148</v>
      </c>
      <c r="C26" s="209">
        <f>28+92+94+71+94+93</f>
        <v>472</v>
      </c>
      <c r="D26" s="210">
        <f>208+62+210</f>
        <v>480</v>
      </c>
      <c r="E26" s="210">
        <f>26+64+191</f>
        <v>281</v>
      </c>
      <c r="F26" s="210">
        <f>95+94+25</f>
        <v>214</v>
      </c>
      <c r="G26" s="210">
        <v>96</v>
      </c>
      <c r="H26" s="210"/>
      <c r="I26" s="210"/>
      <c r="J26" s="210"/>
      <c r="K26" s="210"/>
      <c r="L26" s="210"/>
      <c r="M26" s="210">
        <v>95</v>
      </c>
      <c r="N26" s="217">
        <f>189+92+187+93+206</f>
        <v>767</v>
      </c>
      <c r="O26" s="211">
        <f t="shared" si="3"/>
        <v>2405</v>
      </c>
    </row>
    <row r="27" spans="1:15" ht="16.5" thickBot="1" x14ac:dyDescent="0.3">
      <c r="A27" s="360"/>
      <c r="B27" s="212" t="s">
        <v>147</v>
      </c>
      <c r="C27" s="213">
        <f>+C25/C24</f>
        <v>91.666666666666671</v>
      </c>
      <c r="D27" s="214">
        <f t="shared" ref="D27:N27" si="4">+D25/D24</f>
        <v>192.66666666666666</v>
      </c>
      <c r="E27" s="214">
        <f t="shared" si="4"/>
        <v>116</v>
      </c>
      <c r="F27" s="214">
        <f>+F25/F24</f>
        <v>66.666666666666671</v>
      </c>
      <c r="G27" s="214">
        <f t="shared" si="4"/>
        <v>76</v>
      </c>
      <c r="H27" s="214"/>
      <c r="I27" s="214"/>
      <c r="J27" s="214"/>
      <c r="K27" s="214"/>
      <c r="L27" s="214"/>
      <c r="M27" s="214">
        <f t="shared" si="4"/>
        <v>108</v>
      </c>
      <c r="N27" s="218">
        <f t="shared" si="4"/>
        <v>93.4</v>
      </c>
      <c r="O27" s="215">
        <f t="shared" si="3"/>
        <v>744.4</v>
      </c>
    </row>
    <row r="28" spans="1:15" x14ac:dyDescent="0.25">
      <c r="A28" s="358">
        <v>2010</v>
      </c>
      <c r="B28" s="204" t="s">
        <v>145</v>
      </c>
      <c r="C28" s="205">
        <v>2</v>
      </c>
      <c r="D28" s="206">
        <v>7</v>
      </c>
      <c r="E28" s="206">
        <v>3</v>
      </c>
      <c r="F28" s="206">
        <v>3</v>
      </c>
      <c r="G28" s="206"/>
      <c r="H28" s="206"/>
      <c r="I28" s="206"/>
      <c r="J28" s="206"/>
      <c r="K28" s="206"/>
      <c r="L28" s="206"/>
      <c r="M28" s="206">
        <v>4</v>
      </c>
      <c r="N28" s="216"/>
      <c r="O28" s="207">
        <f t="shared" si="3"/>
        <v>19</v>
      </c>
    </row>
    <row r="29" spans="1:15" x14ac:dyDescent="0.25">
      <c r="A29" s="359"/>
      <c r="B29" s="208" t="s">
        <v>146</v>
      </c>
      <c r="C29" s="209">
        <f>94+32</f>
        <v>126</v>
      </c>
      <c r="D29" s="210">
        <f>182+32+103+97+99+96+24</f>
        <v>633</v>
      </c>
      <c r="E29" s="210">
        <f>75+194+29</f>
        <v>298</v>
      </c>
      <c r="F29" s="210">
        <f>112+135+106</f>
        <v>353</v>
      </c>
      <c r="G29" s="210"/>
      <c r="H29" s="210"/>
      <c r="I29" s="210"/>
      <c r="J29" s="210"/>
      <c r="K29" s="210"/>
      <c r="L29" s="210"/>
      <c r="M29" s="210">
        <f>26+22+50+55+92+100+29+32</f>
        <v>406</v>
      </c>
      <c r="N29" s="217"/>
      <c r="O29" s="211">
        <f t="shared" si="3"/>
        <v>1816</v>
      </c>
    </row>
    <row r="30" spans="1:15" x14ac:dyDescent="0.25">
      <c r="A30" s="359"/>
      <c r="B30" s="208" t="s">
        <v>148</v>
      </c>
      <c r="C30" s="209">
        <f>104+61</f>
        <v>165</v>
      </c>
      <c r="D30" s="210">
        <f>187+60+90+93+92+92+60</f>
        <v>674</v>
      </c>
      <c r="E30" s="210">
        <f>90+197+60</f>
        <v>347</v>
      </c>
      <c r="F30" s="210">
        <f>92+187+91</f>
        <v>370</v>
      </c>
      <c r="G30" s="210"/>
      <c r="H30" s="210"/>
      <c r="I30" s="210"/>
      <c r="J30" s="210"/>
      <c r="K30" s="210"/>
      <c r="L30" s="210"/>
      <c r="M30" s="210">
        <f>92+76+199+91</f>
        <v>458</v>
      </c>
      <c r="N30" s="217"/>
      <c r="O30" s="211">
        <f t="shared" si="3"/>
        <v>2014</v>
      </c>
    </row>
    <row r="31" spans="1:15" ht="16.5" thickBot="1" x14ac:dyDescent="0.3">
      <c r="A31" s="360"/>
      <c r="B31" s="212" t="s">
        <v>147</v>
      </c>
      <c r="C31" s="213">
        <f>+C29/C28</f>
        <v>63</v>
      </c>
      <c r="D31" s="214">
        <f>+D29/D28</f>
        <v>90.428571428571431</v>
      </c>
      <c r="E31" s="214">
        <f>+E29/E28</f>
        <v>99.333333333333329</v>
      </c>
      <c r="F31" s="214">
        <f>+F29/F28</f>
        <v>117.66666666666667</v>
      </c>
      <c r="G31" s="214"/>
      <c r="H31" s="214"/>
      <c r="I31" s="214"/>
      <c r="J31" s="214"/>
      <c r="K31" s="214"/>
      <c r="L31" s="214"/>
      <c r="M31" s="214">
        <f>+M29/M28</f>
        <v>101.5</v>
      </c>
      <c r="N31" s="218"/>
      <c r="O31" s="215">
        <f t="shared" si="3"/>
        <v>471.92857142857144</v>
      </c>
    </row>
    <row r="32" spans="1:15" x14ac:dyDescent="0.25">
      <c r="A32" s="358">
        <v>2011</v>
      </c>
      <c r="B32" s="204" t="s">
        <v>145</v>
      </c>
      <c r="C32" s="205">
        <v>2</v>
      </c>
      <c r="D32" s="206">
        <v>2</v>
      </c>
      <c r="E32" s="206">
        <v>6</v>
      </c>
      <c r="F32" s="206"/>
      <c r="G32" s="206"/>
      <c r="H32" s="206"/>
      <c r="I32" s="206"/>
      <c r="J32" s="206"/>
      <c r="K32" s="206"/>
      <c r="L32" s="206"/>
      <c r="M32" s="206"/>
      <c r="N32" s="216">
        <v>4</v>
      </c>
      <c r="O32" s="207">
        <f t="shared" si="3"/>
        <v>14</v>
      </c>
    </row>
    <row r="33" spans="1:15" x14ac:dyDescent="0.25">
      <c r="A33" s="359"/>
      <c r="B33" s="208" t="s">
        <v>146</v>
      </c>
      <c r="C33" s="209">
        <f>89+85</f>
        <v>174</v>
      </c>
      <c r="D33" s="210">
        <f>146+107</f>
        <v>253</v>
      </c>
      <c r="E33" s="210">
        <f>156+202+154+142+74+58</f>
        <v>786</v>
      </c>
      <c r="F33" s="210"/>
      <c r="G33" s="210"/>
      <c r="H33" s="210"/>
      <c r="I33" s="210"/>
      <c r="J33" s="210"/>
      <c r="K33" s="210"/>
      <c r="L33" s="210"/>
      <c r="M33" s="210"/>
      <c r="N33" s="217">
        <f>54+125+63+133</f>
        <v>375</v>
      </c>
      <c r="O33" s="211">
        <f t="shared" si="3"/>
        <v>1588</v>
      </c>
    </row>
    <row r="34" spans="1:15" x14ac:dyDescent="0.25">
      <c r="A34" s="359"/>
      <c r="B34" s="208" t="s">
        <v>148</v>
      </c>
      <c r="C34" s="209">
        <f>93+94</f>
        <v>187</v>
      </c>
      <c r="D34" s="210">
        <f>76+92</f>
        <v>168</v>
      </c>
      <c r="E34" s="210">
        <f>76+196+77+79+91+91</f>
        <v>610</v>
      </c>
      <c r="F34" s="210"/>
      <c r="G34" s="210"/>
      <c r="H34" s="210"/>
      <c r="I34" s="210"/>
      <c r="J34" s="210"/>
      <c r="K34" s="210"/>
      <c r="L34" s="210"/>
      <c r="M34" s="210"/>
      <c r="N34" s="217">
        <f>94+75+87+76</f>
        <v>332</v>
      </c>
      <c r="O34" s="211">
        <f t="shared" si="3"/>
        <v>1297</v>
      </c>
    </row>
    <row r="35" spans="1:15" ht="16.5" thickBot="1" x14ac:dyDescent="0.3">
      <c r="A35" s="360"/>
      <c r="B35" s="212" t="s">
        <v>147</v>
      </c>
      <c r="C35" s="213">
        <f>+C33/C32</f>
        <v>87</v>
      </c>
      <c r="D35" s="214">
        <f>+D33/D32</f>
        <v>126.5</v>
      </c>
      <c r="E35" s="214">
        <f>+E33/E32</f>
        <v>131</v>
      </c>
      <c r="F35" s="214"/>
      <c r="G35" s="214"/>
      <c r="H35" s="214"/>
      <c r="I35" s="214"/>
      <c r="J35" s="214"/>
      <c r="K35" s="214"/>
      <c r="L35" s="214"/>
      <c r="M35" s="214"/>
      <c r="N35" s="214">
        <f>+N33/N32</f>
        <v>93.75</v>
      </c>
      <c r="O35" s="215">
        <f t="shared" si="3"/>
        <v>438.25</v>
      </c>
    </row>
    <row r="36" spans="1:15" x14ac:dyDescent="0.25">
      <c r="A36" s="358">
        <v>2012</v>
      </c>
      <c r="B36" s="204" t="s">
        <v>145</v>
      </c>
      <c r="C36" s="205">
        <v>6</v>
      </c>
      <c r="D36" s="206">
        <v>2</v>
      </c>
      <c r="E36" s="206">
        <v>3</v>
      </c>
      <c r="F36" s="206">
        <v>3</v>
      </c>
      <c r="G36" s="206"/>
      <c r="H36" s="206"/>
      <c r="I36" s="206"/>
      <c r="J36" s="206"/>
      <c r="K36" s="206"/>
      <c r="L36" s="206"/>
      <c r="M36" s="206">
        <v>1</v>
      </c>
      <c r="N36" s="216">
        <v>6</v>
      </c>
      <c r="O36" s="207">
        <f t="shared" si="3"/>
        <v>21</v>
      </c>
    </row>
    <row r="37" spans="1:15" x14ac:dyDescent="0.25">
      <c r="A37" s="359"/>
      <c r="B37" s="208" t="s">
        <v>146</v>
      </c>
      <c r="C37" s="209">
        <f>104+103+88+44+260+324</f>
        <v>923</v>
      </c>
      <c r="D37" s="210">
        <f>149+284</f>
        <v>433</v>
      </c>
      <c r="E37" s="210">
        <f>133+101+144</f>
        <v>378</v>
      </c>
      <c r="F37" s="210">
        <f>151+84+116</f>
        <v>351</v>
      </c>
      <c r="G37" s="210"/>
      <c r="H37" s="210"/>
      <c r="I37" s="210"/>
      <c r="J37" s="210"/>
      <c r="K37" s="210"/>
      <c r="L37" s="210"/>
      <c r="M37" s="210">
        <v>64</v>
      </c>
      <c r="N37" s="217">
        <f>113+60+100+64+205+148</f>
        <v>690</v>
      </c>
      <c r="O37" s="211">
        <f t="shared" si="3"/>
        <v>2839</v>
      </c>
    </row>
    <row r="38" spans="1:15" x14ac:dyDescent="0.25">
      <c r="A38" s="359"/>
      <c r="B38" s="208" t="s">
        <v>148</v>
      </c>
      <c r="C38" s="209">
        <f>92+94+91+61+219+212</f>
        <v>769</v>
      </c>
      <c r="D38" s="210">
        <f>76+218</f>
        <v>294</v>
      </c>
      <c r="E38" s="210">
        <f>72+90+75</f>
        <v>237</v>
      </c>
      <c r="F38" s="210">
        <f>79+93+91</f>
        <v>263</v>
      </c>
      <c r="G38" s="210"/>
      <c r="H38" s="210"/>
      <c r="I38" s="210"/>
      <c r="J38" s="210"/>
      <c r="K38" s="210"/>
      <c r="L38" s="210"/>
      <c r="M38" s="210">
        <v>91</v>
      </c>
      <c r="N38" s="217">
        <f>78+92+76+62+169+76</f>
        <v>553</v>
      </c>
      <c r="O38" s="211">
        <f t="shared" si="3"/>
        <v>2207</v>
      </c>
    </row>
    <row r="39" spans="1:15" ht="16.5" thickBot="1" x14ac:dyDescent="0.3">
      <c r="A39" s="360"/>
      <c r="B39" s="212" t="s">
        <v>147</v>
      </c>
      <c r="C39" s="213">
        <f>+C37/C36</f>
        <v>153.83333333333334</v>
      </c>
      <c r="D39" s="214">
        <f>+D37/D36</f>
        <v>216.5</v>
      </c>
      <c r="E39" s="214">
        <f>+E37/E36</f>
        <v>126</v>
      </c>
      <c r="F39" s="214">
        <f>+F37/F36</f>
        <v>117</v>
      </c>
      <c r="G39" s="214"/>
      <c r="H39" s="214"/>
      <c r="I39" s="214"/>
      <c r="J39" s="214"/>
      <c r="K39" s="214"/>
      <c r="L39" s="214"/>
      <c r="M39" s="214">
        <f>+M37/M36</f>
        <v>64</v>
      </c>
      <c r="N39" s="214">
        <f>+N37/N36</f>
        <v>115</v>
      </c>
      <c r="O39" s="215">
        <f t="shared" si="3"/>
        <v>792.33333333333337</v>
      </c>
    </row>
    <row r="40" spans="1:15" x14ac:dyDescent="0.25">
      <c r="A40" s="358">
        <v>2013</v>
      </c>
      <c r="B40" s="204" t="s">
        <v>145</v>
      </c>
      <c r="C40" s="205">
        <v>6</v>
      </c>
      <c r="D40" s="206">
        <v>4</v>
      </c>
      <c r="E40" s="206">
        <v>4</v>
      </c>
      <c r="F40" s="206">
        <v>2</v>
      </c>
      <c r="G40" s="206"/>
      <c r="H40" s="206"/>
      <c r="I40" s="206"/>
      <c r="J40" s="206"/>
      <c r="K40" s="206"/>
      <c r="L40" s="206"/>
      <c r="M40" s="206"/>
      <c r="N40" s="216"/>
      <c r="O40" s="207">
        <f t="shared" si="3"/>
        <v>16</v>
      </c>
    </row>
    <row r="41" spans="1:15" x14ac:dyDescent="0.25">
      <c r="A41" s="359"/>
      <c r="B41" s="208" t="s">
        <v>146</v>
      </c>
      <c r="C41" s="209">
        <f>200+162+100+212+106+210</f>
        <v>990</v>
      </c>
      <c r="D41" s="210">
        <f>198+145+200+221</f>
        <v>764</v>
      </c>
      <c r="E41" s="210">
        <f>189+170+181+153</f>
        <v>693</v>
      </c>
      <c r="F41" s="210">
        <f>103+77</f>
        <v>180</v>
      </c>
      <c r="G41" s="210"/>
      <c r="H41" s="210"/>
      <c r="I41" s="210"/>
      <c r="J41" s="210"/>
      <c r="K41" s="210"/>
      <c r="L41" s="210"/>
      <c r="M41" s="210"/>
      <c r="N41" s="217"/>
      <c r="O41" s="211">
        <f t="shared" si="3"/>
        <v>2627</v>
      </c>
    </row>
    <row r="42" spans="1:15" x14ac:dyDescent="0.25">
      <c r="A42" s="359"/>
      <c r="B42" s="208" t="s">
        <v>148</v>
      </c>
      <c r="C42" s="209">
        <f>164+75+92+202+91+174</f>
        <v>798</v>
      </c>
      <c r="D42" s="210">
        <f>175+78+172+209</f>
        <v>634</v>
      </c>
      <c r="E42" s="210">
        <f>172+206+172+78</f>
        <v>628</v>
      </c>
      <c r="F42" s="210">
        <f>94+66</f>
        <v>160</v>
      </c>
      <c r="G42" s="210"/>
      <c r="H42" s="210"/>
      <c r="I42" s="210"/>
      <c r="J42" s="210"/>
      <c r="K42" s="210"/>
      <c r="L42" s="210"/>
      <c r="M42" s="210"/>
      <c r="N42" s="217"/>
      <c r="O42" s="211">
        <f t="shared" si="3"/>
        <v>2220</v>
      </c>
    </row>
    <row r="43" spans="1:15" ht="16.5" thickBot="1" x14ac:dyDescent="0.3">
      <c r="A43" s="360"/>
      <c r="B43" s="212" t="s">
        <v>147</v>
      </c>
      <c r="C43" s="213">
        <f>+C41/C40</f>
        <v>165</v>
      </c>
      <c r="D43" s="214">
        <f>+D41/D40</f>
        <v>191</v>
      </c>
      <c r="E43" s="214">
        <f>+E41/E40</f>
        <v>173.25</v>
      </c>
      <c r="F43" s="214">
        <f>+F41/F40</f>
        <v>90</v>
      </c>
      <c r="G43" s="214"/>
      <c r="H43" s="214"/>
      <c r="I43" s="214"/>
      <c r="J43" s="214"/>
      <c r="K43" s="214"/>
      <c r="L43" s="214"/>
      <c r="M43" s="214"/>
      <c r="N43" s="218"/>
      <c r="O43" s="215">
        <f t="shared" si="3"/>
        <v>619.25</v>
      </c>
    </row>
    <row r="44" spans="1:15" x14ac:dyDescent="0.25">
      <c r="A44" s="358">
        <v>2014</v>
      </c>
      <c r="B44" s="204" t="s">
        <v>145</v>
      </c>
      <c r="C44" s="205">
        <v>10</v>
      </c>
      <c r="D44" s="206">
        <v>9</v>
      </c>
      <c r="E44" s="206">
        <v>4</v>
      </c>
      <c r="F44" s="206">
        <v>3</v>
      </c>
      <c r="G44" s="206"/>
      <c r="H44" s="206"/>
      <c r="I44" s="206"/>
      <c r="J44" s="206"/>
      <c r="K44" s="206"/>
      <c r="L44" s="206"/>
      <c r="M44" s="206">
        <v>4</v>
      </c>
      <c r="N44" s="216">
        <v>14</v>
      </c>
      <c r="O44" s="207">
        <f t="shared" si="3"/>
        <v>44</v>
      </c>
    </row>
    <row r="45" spans="1:15" x14ac:dyDescent="0.25">
      <c r="A45" s="359"/>
      <c r="B45" s="208" t="s">
        <v>146</v>
      </c>
      <c r="C45" s="209">
        <f>173+43+148+104+192+106+55+46+111+204</f>
        <v>1182</v>
      </c>
      <c r="D45" s="210">
        <f>114+118+102+191+56+98+145+102+189</f>
        <v>1115</v>
      </c>
      <c r="E45" s="210">
        <f>186+131+194+160</f>
        <v>671</v>
      </c>
      <c r="F45" s="210">
        <f>60+46+111</f>
        <v>217</v>
      </c>
      <c r="G45" s="210"/>
      <c r="H45" s="210"/>
      <c r="I45" s="210"/>
      <c r="J45" s="210"/>
      <c r="K45" s="210"/>
      <c r="L45" s="210"/>
      <c r="M45" s="210">
        <f>195+84+202+191+75</f>
        <v>747</v>
      </c>
      <c r="N45" s="217">
        <f>76+95+203+195+54+91+51+77+59+187+90+367+157+461</f>
        <v>2163</v>
      </c>
      <c r="O45" s="211">
        <f t="shared" si="3"/>
        <v>6095</v>
      </c>
    </row>
    <row r="46" spans="1:15" x14ac:dyDescent="0.25">
      <c r="A46" s="359"/>
      <c r="B46" s="208" t="s">
        <v>148</v>
      </c>
      <c r="C46" s="209">
        <f>171+58+78+90+173+90+35+35+90+173</f>
        <v>993</v>
      </c>
      <c r="D46" s="210">
        <f>92+77+92+172+59+92+79+94+174</f>
        <v>931</v>
      </c>
      <c r="E46" s="210">
        <f>175+78+175+79</f>
        <v>507</v>
      </c>
      <c r="F46" s="210">
        <f>64+60+90</f>
        <v>214</v>
      </c>
      <c r="G46" s="210"/>
      <c r="H46" s="210"/>
      <c r="I46" s="210"/>
      <c r="J46" s="210"/>
      <c r="K46" s="210"/>
      <c r="L46" s="210"/>
      <c r="M46" s="210">
        <f>174+92+176+176+79</f>
        <v>697</v>
      </c>
      <c r="N46" s="217">
        <f>93+91+173+174+32+78+71+91+63+174+71+205+78+378</f>
        <v>1772</v>
      </c>
      <c r="O46" s="211">
        <f t="shared" si="3"/>
        <v>5114</v>
      </c>
    </row>
    <row r="47" spans="1:15" ht="16.5" thickBot="1" x14ac:dyDescent="0.3">
      <c r="A47" s="360"/>
      <c r="B47" s="212" t="s">
        <v>147</v>
      </c>
      <c r="C47" s="213">
        <f>+C45/C44</f>
        <v>118.2</v>
      </c>
      <c r="D47" s="214">
        <f>+D45/D44</f>
        <v>123.88888888888889</v>
      </c>
      <c r="E47" s="214">
        <f>+E45/E44</f>
        <v>167.75</v>
      </c>
      <c r="F47" s="214">
        <f>+F45/F44</f>
        <v>72.333333333333329</v>
      </c>
      <c r="G47" s="214"/>
      <c r="H47" s="214"/>
      <c r="I47" s="214"/>
      <c r="J47" s="214"/>
      <c r="K47" s="214"/>
      <c r="L47" s="214"/>
      <c r="M47" s="214">
        <f>+M45/M44</f>
        <v>186.75</v>
      </c>
      <c r="N47" s="214">
        <f>+N45/N44</f>
        <v>154.5</v>
      </c>
      <c r="O47" s="215">
        <f t="shared" si="3"/>
        <v>823.42222222222222</v>
      </c>
    </row>
    <row r="48" spans="1:15" x14ac:dyDescent="0.25">
      <c r="A48" s="358">
        <v>2015</v>
      </c>
      <c r="B48" s="204" t="s">
        <v>145</v>
      </c>
      <c r="C48" s="205">
        <v>11</v>
      </c>
      <c r="D48" s="206">
        <v>8</v>
      </c>
      <c r="E48" s="206">
        <v>11</v>
      </c>
      <c r="F48" s="206">
        <v>1</v>
      </c>
      <c r="G48" s="206"/>
      <c r="H48" s="206"/>
      <c r="I48" s="206"/>
      <c r="J48" s="206"/>
      <c r="K48" s="206"/>
      <c r="L48" s="206"/>
      <c r="M48" s="206">
        <v>6</v>
      </c>
      <c r="N48" s="216">
        <v>7</v>
      </c>
      <c r="O48" s="207">
        <f t="shared" ref="O48:O55" si="5">SUM(C48:N48)</f>
        <v>44</v>
      </c>
    </row>
    <row r="49" spans="1:15" x14ac:dyDescent="0.25">
      <c r="A49" s="359"/>
      <c r="B49" s="208" t="s">
        <v>146</v>
      </c>
      <c r="C49" s="209">
        <f>60+194+150+97+83+286+200+197+108+254+91</f>
        <v>1720</v>
      </c>
      <c r="D49" s="210">
        <f>419+73+193+146+149+83+98+101</f>
        <v>1262</v>
      </c>
      <c r="E49" s="210">
        <f>156+81+167+95+113+46+163+81+194+78+82</f>
        <v>1256</v>
      </c>
      <c r="F49" s="210">
        <v>71</v>
      </c>
      <c r="G49" s="210"/>
      <c r="H49" s="210"/>
      <c r="I49" s="210"/>
      <c r="J49" s="210"/>
      <c r="K49" s="210"/>
      <c r="L49" s="210"/>
      <c r="M49" s="210">
        <f>353+351+88+459+116+95</f>
        <v>1462</v>
      </c>
      <c r="N49" s="217">
        <f>328+103+53+98+102+303+59</f>
        <v>1046</v>
      </c>
      <c r="O49" s="211">
        <f t="shared" si="5"/>
        <v>6817</v>
      </c>
    </row>
    <row r="50" spans="1:15" x14ac:dyDescent="0.25">
      <c r="A50" s="359"/>
      <c r="B50" s="208" t="s">
        <v>148</v>
      </c>
      <c r="C50" s="209">
        <f>32+177+92+92+92+216+176+177+92+216+91</f>
        <v>1453</v>
      </c>
      <c r="D50" s="210">
        <f>270+93+180+209+78+93+93+93</f>
        <v>1109</v>
      </c>
      <c r="E50" s="210">
        <f>77+92+77+92+91+31+91+91+177+177+177</f>
        <v>1173</v>
      </c>
      <c r="F50" s="210">
        <v>91</v>
      </c>
      <c r="G50" s="210"/>
      <c r="H50" s="210"/>
      <c r="I50" s="210"/>
      <c r="J50" s="210"/>
      <c r="K50" s="210"/>
      <c r="L50" s="210"/>
      <c r="M50" s="210">
        <f>191+189+92+350+77+92</f>
        <v>991</v>
      </c>
      <c r="N50" s="217">
        <f>200+92+33+79+93+209+38</f>
        <v>744</v>
      </c>
      <c r="O50" s="211">
        <f t="shared" si="5"/>
        <v>5561</v>
      </c>
    </row>
    <row r="51" spans="1:15" ht="16.5" thickBot="1" x14ac:dyDescent="0.3">
      <c r="A51" s="360"/>
      <c r="B51" s="212" t="s">
        <v>147</v>
      </c>
      <c r="C51" s="213">
        <f>+C49/C48</f>
        <v>156.36363636363637</v>
      </c>
      <c r="D51" s="214">
        <f>+D49/D48</f>
        <v>157.75</v>
      </c>
      <c r="E51" s="214">
        <f>+E49/E48</f>
        <v>114.18181818181819</v>
      </c>
      <c r="F51" s="214">
        <f>+F49/F48</f>
        <v>71</v>
      </c>
      <c r="G51" s="214"/>
      <c r="H51" s="214"/>
      <c r="I51" s="214"/>
      <c r="J51" s="214"/>
      <c r="K51" s="214"/>
      <c r="L51" s="214"/>
      <c r="M51" s="214">
        <f>+M49/M48</f>
        <v>243.66666666666666</v>
      </c>
      <c r="N51" s="214">
        <f>+N49/N48</f>
        <v>149.42857142857142</v>
      </c>
      <c r="O51" s="215">
        <f t="shared" si="5"/>
        <v>892.39069264069269</v>
      </c>
    </row>
    <row r="52" spans="1:15" x14ac:dyDescent="0.25">
      <c r="A52" s="358">
        <v>2016</v>
      </c>
      <c r="B52" s="204" t="s">
        <v>145</v>
      </c>
      <c r="C52" s="205">
        <v>8</v>
      </c>
      <c r="D52" s="206">
        <v>6</v>
      </c>
      <c r="E52" s="206">
        <v>5</v>
      </c>
      <c r="F52" s="206">
        <v>1</v>
      </c>
      <c r="G52" s="206"/>
      <c r="H52" s="206"/>
      <c r="I52" s="206"/>
      <c r="J52" s="206"/>
      <c r="K52" s="206"/>
      <c r="L52" s="206"/>
      <c r="M52" s="206">
        <v>1</v>
      </c>
      <c r="N52" s="216">
        <v>4</v>
      </c>
      <c r="O52" s="207">
        <f t="shared" si="5"/>
        <v>25</v>
      </c>
    </row>
    <row r="53" spans="1:15" x14ac:dyDescent="0.25">
      <c r="A53" s="359"/>
      <c r="B53" s="208" t="s">
        <v>146</v>
      </c>
      <c r="C53" s="209">
        <f>160+135+58+93+274+126+85+205</f>
        <v>1136</v>
      </c>
      <c r="D53" s="210">
        <f>149+98+92+151+102+82</f>
        <v>674</v>
      </c>
      <c r="E53" s="210">
        <f>163+280+150+87+110</f>
        <v>790</v>
      </c>
      <c r="F53" s="210">
        <v>101</v>
      </c>
      <c r="G53" s="210"/>
      <c r="H53" s="210"/>
      <c r="I53" s="210"/>
      <c r="J53" s="210"/>
      <c r="K53" s="210"/>
      <c r="L53" s="210"/>
      <c r="M53" s="210">
        <v>106</v>
      </c>
      <c r="N53" s="217">
        <f>172+124+98+99</f>
        <v>493</v>
      </c>
      <c r="O53" s="211">
        <f t="shared" si="5"/>
        <v>3300</v>
      </c>
    </row>
    <row r="54" spans="1:15" x14ac:dyDescent="0.25">
      <c r="A54" s="359"/>
      <c r="B54" s="208" t="s">
        <v>148</v>
      </c>
      <c r="C54" s="209">
        <f>79+73+34+94+205+78+92+206</f>
        <v>861</v>
      </c>
      <c r="D54" s="210">
        <f>75+92+94+73+92+60</f>
        <v>486</v>
      </c>
      <c r="E54" s="210">
        <f>76+194+78+61+92</f>
        <v>501</v>
      </c>
      <c r="F54" s="210">
        <v>91</v>
      </c>
      <c r="G54" s="210"/>
      <c r="H54" s="210"/>
      <c r="I54" s="210"/>
      <c r="J54" s="210"/>
      <c r="K54" s="210"/>
      <c r="L54" s="210"/>
      <c r="M54" s="210">
        <v>92</v>
      </c>
      <c r="N54" s="217">
        <f>74+74+96+96</f>
        <v>340</v>
      </c>
      <c r="O54" s="211">
        <f t="shared" si="5"/>
        <v>2371</v>
      </c>
    </row>
    <row r="55" spans="1:15" ht="16.5" thickBot="1" x14ac:dyDescent="0.3">
      <c r="A55" s="360"/>
      <c r="B55" s="212" t="s">
        <v>147</v>
      </c>
      <c r="C55" s="213">
        <f>+C53/C52</f>
        <v>142</v>
      </c>
      <c r="D55" s="214">
        <f>+D53/D52</f>
        <v>112.33333333333333</v>
      </c>
      <c r="E55" s="214">
        <f>+E53/E52</f>
        <v>158</v>
      </c>
      <c r="F55" s="214">
        <f>+F53/F52</f>
        <v>101</v>
      </c>
      <c r="G55" s="214"/>
      <c r="H55" s="214"/>
      <c r="I55" s="214"/>
      <c r="J55" s="214"/>
      <c r="K55" s="214"/>
      <c r="L55" s="214"/>
      <c r="M55" s="214">
        <f>+M53/M52</f>
        <v>106</v>
      </c>
      <c r="N55" s="214">
        <f>+N53/N52</f>
        <v>123.25</v>
      </c>
      <c r="O55" s="215">
        <f t="shared" si="5"/>
        <v>742.58333333333326</v>
      </c>
    </row>
    <row r="56" spans="1:15" x14ac:dyDescent="0.25">
      <c r="A56" s="358">
        <v>2017</v>
      </c>
      <c r="B56" s="204" t="s">
        <v>145</v>
      </c>
      <c r="C56" s="205">
        <v>4</v>
      </c>
      <c r="D56" s="206">
        <v>7</v>
      </c>
      <c r="E56" s="206"/>
      <c r="F56" s="206">
        <v>2</v>
      </c>
      <c r="G56" s="206"/>
      <c r="H56" s="206"/>
      <c r="I56" s="206"/>
      <c r="J56" s="206"/>
      <c r="K56" s="206"/>
      <c r="L56" s="206"/>
      <c r="M56" s="206"/>
      <c r="N56" s="216"/>
      <c r="O56" s="207">
        <f t="shared" ref="O56:O63" si="6">SUM(C56:N56)</f>
        <v>13</v>
      </c>
    </row>
    <row r="57" spans="1:15" x14ac:dyDescent="0.25">
      <c r="A57" s="359"/>
      <c r="B57" s="208" t="s">
        <v>146</v>
      </c>
      <c r="C57" s="209">
        <f>105+271+288+83</f>
        <v>747</v>
      </c>
      <c r="D57" s="210">
        <f>104+218+104+98+147+102+442</f>
        <v>1215</v>
      </c>
      <c r="E57" s="210"/>
      <c r="F57" s="210">
        <f>110+446</f>
        <v>556</v>
      </c>
      <c r="G57" s="210"/>
      <c r="H57" s="210"/>
      <c r="I57" s="210"/>
      <c r="J57" s="210"/>
      <c r="K57" s="210"/>
      <c r="L57" s="210"/>
      <c r="M57" s="210"/>
      <c r="N57" s="217"/>
      <c r="O57" s="211">
        <f t="shared" si="6"/>
        <v>2518</v>
      </c>
    </row>
    <row r="58" spans="1:15" x14ac:dyDescent="0.25">
      <c r="A58" s="359"/>
      <c r="B58" s="208" t="s">
        <v>148</v>
      </c>
      <c r="C58" s="209">
        <f>93+216+212+90</f>
        <v>611</v>
      </c>
      <c r="D58" s="210">
        <f>91+210+91+91+204+91+346</f>
        <v>1124</v>
      </c>
      <c r="E58" s="210"/>
      <c r="F58" s="210">
        <f>93+345</f>
        <v>438</v>
      </c>
      <c r="G58" s="210"/>
      <c r="H58" s="210"/>
      <c r="I58" s="210"/>
      <c r="J58" s="210"/>
      <c r="K58" s="210"/>
      <c r="L58" s="210"/>
      <c r="M58" s="210"/>
      <c r="N58" s="217"/>
      <c r="O58" s="211">
        <f t="shared" si="6"/>
        <v>2173</v>
      </c>
    </row>
    <row r="59" spans="1:15" ht="16.5" thickBot="1" x14ac:dyDescent="0.3">
      <c r="A59" s="360"/>
      <c r="B59" s="212" t="s">
        <v>147</v>
      </c>
      <c r="C59" s="213">
        <f>+C57/C56</f>
        <v>186.75</v>
      </c>
      <c r="D59" s="214">
        <f>+D57/D56</f>
        <v>173.57142857142858</v>
      </c>
      <c r="E59" s="214"/>
      <c r="F59" s="214">
        <f>+F57/F56</f>
        <v>278</v>
      </c>
      <c r="G59" s="214"/>
      <c r="H59" s="214"/>
      <c r="I59" s="214"/>
      <c r="J59" s="214"/>
      <c r="K59" s="214"/>
      <c r="L59" s="214"/>
      <c r="M59" s="214"/>
      <c r="N59" s="214"/>
      <c r="O59" s="215">
        <f t="shared" si="6"/>
        <v>638.32142857142856</v>
      </c>
    </row>
    <row r="60" spans="1:15" x14ac:dyDescent="0.25">
      <c r="A60" s="358">
        <v>2018</v>
      </c>
      <c r="B60" s="204" t="s">
        <v>145</v>
      </c>
      <c r="C60" s="205">
        <v>5</v>
      </c>
      <c r="D60" s="206">
        <v>8</v>
      </c>
      <c r="E60" s="206">
        <v>3</v>
      </c>
      <c r="F60" s="206"/>
      <c r="G60" s="206"/>
      <c r="H60" s="206"/>
      <c r="I60" s="206"/>
      <c r="J60" s="206"/>
      <c r="K60" s="206"/>
      <c r="L60" s="206"/>
      <c r="M60" s="206"/>
      <c r="N60" s="216"/>
      <c r="O60" s="207">
        <f t="shared" si="6"/>
        <v>16</v>
      </c>
    </row>
    <row r="61" spans="1:15" x14ac:dyDescent="0.25">
      <c r="A61" s="359"/>
      <c r="B61" s="208" t="s">
        <v>146</v>
      </c>
      <c r="C61" s="209">
        <f>99+98+103+313+265</f>
        <v>878</v>
      </c>
      <c r="D61" s="210">
        <f>342+107+105+88+95+89+81+69</f>
        <v>976</v>
      </c>
      <c r="E61" s="210">
        <f>150+74+81</f>
        <v>305</v>
      </c>
      <c r="F61" s="210"/>
      <c r="G61" s="210"/>
      <c r="H61" s="210"/>
      <c r="I61" s="210"/>
      <c r="J61" s="210"/>
      <c r="K61" s="210"/>
      <c r="L61" s="210"/>
      <c r="M61" s="210"/>
      <c r="N61" s="217"/>
      <c r="O61" s="211">
        <f t="shared" si="6"/>
        <v>2159</v>
      </c>
    </row>
    <row r="62" spans="1:15" x14ac:dyDescent="0.25">
      <c r="A62" s="359"/>
      <c r="B62" s="208" t="s">
        <v>148</v>
      </c>
      <c r="C62" s="209">
        <f>92+93+92+210+211</f>
        <v>698</v>
      </c>
      <c r="D62" s="210">
        <f>212+77+79+92+94+95+80+92</f>
        <v>821</v>
      </c>
      <c r="E62" s="210">
        <f>78+93+79</f>
        <v>250</v>
      </c>
      <c r="F62" s="210"/>
      <c r="G62" s="210"/>
      <c r="H62" s="210"/>
      <c r="I62" s="210"/>
      <c r="J62" s="210"/>
      <c r="K62" s="210"/>
      <c r="L62" s="210"/>
      <c r="M62" s="210"/>
      <c r="N62" s="217"/>
      <c r="O62" s="211">
        <f t="shared" si="6"/>
        <v>1769</v>
      </c>
    </row>
    <row r="63" spans="1:15" ht="16.5" thickBot="1" x14ac:dyDescent="0.3">
      <c r="A63" s="360"/>
      <c r="B63" s="212" t="s">
        <v>147</v>
      </c>
      <c r="C63" s="213">
        <f>+C61/C60</f>
        <v>175.6</v>
      </c>
      <c r="D63" s="213">
        <f>+D61/D60</f>
        <v>122</v>
      </c>
      <c r="E63" s="213">
        <f>+E61/E60</f>
        <v>101.66666666666667</v>
      </c>
      <c r="F63" s="214"/>
      <c r="G63" s="214"/>
      <c r="H63" s="214"/>
      <c r="I63" s="214"/>
      <c r="J63" s="214"/>
      <c r="K63" s="214"/>
      <c r="L63" s="214"/>
      <c r="M63" s="214"/>
      <c r="N63" s="214"/>
      <c r="O63" s="215">
        <f t="shared" si="6"/>
        <v>399.26666666666671</v>
      </c>
    </row>
    <row r="65" spans="1:1" ht="16.5" x14ac:dyDescent="0.3">
      <c r="A65" s="253" t="s">
        <v>221</v>
      </c>
    </row>
  </sheetData>
  <mergeCells count="17">
    <mergeCell ref="A60:A63"/>
    <mergeCell ref="A56:A59"/>
    <mergeCell ref="A21:A23"/>
    <mergeCell ref="A24:A27"/>
    <mergeCell ref="A1:O1"/>
    <mergeCell ref="A6:A8"/>
    <mergeCell ref="A9:A11"/>
    <mergeCell ref="A12:A14"/>
    <mergeCell ref="A15:A17"/>
    <mergeCell ref="A18:A20"/>
    <mergeCell ref="A28:A31"/>
    <mergeCell ref="A32:A35"/>
    <mergeCell ref="A36:A39"/>
    <mergeCell ref="A40:A43"/>
    <mergeCell ref="A52:A55"/>
    <mergeCell ref="A48:A51"/>
    <mergeCell ref="A44:A47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F10" sqref="F10"/>
    </sheetView>
  </sheetViews>
  <sheetFormatPr defaultRowHeight="15.75" x14ac:dyDescent="0.25"/>
  <cols>
    <col min="1" max="1" width="2.5546875" customWidth="1"/>
    <col min="2" max="2" width="13.5546875" customWidth="1"/>
    <col min="7" max="8" width="10.21875" customWidth="1"/>
  </cols>
  <sheetData>
    <row r="2" spans="2:10" ht="17.25" x14ac:dyDescent="0.35">
      <c r="B2" s="243" t="s">
        <v>216</v>
      </c>
    </row>
    <row r="3" spans="2:10" ht="16.5" thickBot="1" x14ac:dyDescent="0.3"/>
    <row r="4" spans="2:10" ht="16.5" thickBot="1" x14ac:dyDescent="0.3">
      <c r="B4" s="362" t="s">
        <v>8</v>
      </c>
      <c r="C4" s="366">
        <v>2018</v>
      </c>
      <c r="D4" s="367"/>
      <c r="E4" s="367"/>
      <c r="F4" s="367"/>
      <c r="G4" s="367"/>
      <c r="H4" s="367"/>
      <c r="I4" s="367"/>
      <c r="J4" s="367"/>
    </row>
    <row r="5" spans="2:10" ht="16.5" thickBot="1" x14ac:dyDescent="0.3">
      <c r="B5" s="363"/>
      <c r="C5" s="364" t="s">
        <v>176</v>
      </c>
      <c r="D5" s="365"/>
      <c r="E5" s="364" t="s">
        <v>177</v>
      </c>
      <c r="F5" s="365"/>
      <c r="G5" s="364" t="s">
        <v>178</v>
      </c>
      <c r="H5" s="365"/>
      <c r="I5" s="364" t="s">
        <v>179</v>
      </c>
      <c r="J5" s="365"/>
    </row>
    <row r="6" spans="2:10" ht="16.5" thickBot="1" x14ac:dyDescent="0.3">
      <c r="B6" s="330"/>
      <c r="C6" s="331" t="s">
        <v>219</v>
      </c>
      <c r="D6" s="331" t="s">
        <v>220</v>
      </c>
      <c r="E6" s="331" t="s">
        <v>219</v>
      </c>
      <c r="F6" s="331" t="s">
        <v>220</v>
      </c>
      <c r="G6" s="331" t="s">
        <v>219</v>
      </c>
      <c r="H6" s="331" t="s">
        <v>220</v>
      </c>
      <c r="I6" s="331" t="s">
        <v>219</v>
      </c>
      <c r="J6" s="244" t="s">
        <v>220</v>
      </c>
    </row>
    <row r="7" spans="2:10" x14ac:dyDescent="0.25">
      <c r="B7" s="245" t="s">
        <v>180</v>
      </c>
      <c r="C7" s="246">
        <v>460</v>
      </c>
      <c r="D7" s="246">
        <v>457</v>
      </c>
      <c r="E7" s="246">
        <v>752</v>
      </c>
      <c r="F7" s="246">
        <v>762</v>
      </c>
      <c r="G7" s="246">
        <v>128</v>
      </c>
      <c r="H7" s="246">
        <v>120</v>
      </c>
      <c r="I7" s="246">
        <f>SUM(E7+G7)</f>
        <v>880</v>
      </c>
      <c r="J7" s="246">
        <f>SUM(F7+H7)</f>
        <v>882</v>
      </c>
    </row>
    <row r="8" spans="2:10" x14ac:dyDescent="0.25">
      <c r="B8" s="247" t="s">
        <v>157</v>
      </c>
      <c r="C8" s="248">
        <v>397</v>
      </c>
      <c r="D8" s="248">
        <v>402</v>
      </c>
      <c r="E8" s="248">
        <v>763</v>
      </c>
      <c r="F8" s="248">
        <v>766</v>
      </c>
      <c r="G8" s="248">
        <v>148</v>
      </c>
      <c r="H8" s="248">
        <v>146</v>
      </c>
      <c r="I8" s="248">
        <f t="shared" ref="I8:I18" si="0">SUM(E8+G8)</f>
        <v>911</v>
      </c>
      <c r="J8" s="248">
        <f t="shared" ref="J8:J18" si="1">SUM(F8+H8)</f>
        <v>912</v>
      </c>
    </row>
    <row r="9" spans="2:10" x14ac:dyDescent="0.25">
      <c r="B9" s="247" t="s">
        <v>181</v>
      </c>
      <c r="C9" s="248"/>
      <c r="D9" s="248"/>
      <c r="E9" s="248"/>
      <c r="F9" s="248"/>
      <c r="G9" s="248">
        <v>203</v>
      </c>
      <c r="H9" s="248">
        <v>209</v>
      </c>
      <c r="I9" s="248">
        <f t="shared" si="0"/>
        <v>203</v>
      </c>
      <c r="J9" s="248">
        <f t="shared" si="1"/>
        <v>209</v>
      </c>
    </row>
    <row r="10" spans="2:10" x14ac:dyDescent="0.25">
      <c r="B10" s="247" t="s">
        <v>182</v>
      </c>
      <c r="C10" s="248"/>
      <c r="D10" s="248"/>
      <c r="E10" s="248"/>
      <c r="F10" s="248"/>
      <c r="G10" s="248"/>
      <c r="H10" s="248"/>
      <c r="I10" s="248">
        <f t="shared" si="0"/>
        <v>0</v>
      </c>
      <c r="J10" s="248">
        <f t="shared" si="1"/>
        <v>0</v>
      </c>
    </row>
    <row r="11" spans="2:10" x14ac:dyDescent="0.25">
      <c r="B11" s="247" t="s">
        <v>183</v>
      </c>
      <c r="C11" s="248"/>
      <c r="D11" s="248"/>
      <c r="E11" s="248"/>
      <c r="F11" s="248"/>
      <c r="G11" s="248"/>
      <c r="H11" s="248"/>
      <c r="I11" s="248">
        <f t="shared" si="0"/>
        <v>0</v>
      </c>
      <c r="J11" s="248">
        <f t="shared" si="1"/>
        <v>0</v>
      </c>
    </row>
    <row r="12" spans="2:10" x14ac:dyDescent="0.25">
      <c r="B12" s="247" t="s">
        <v>15</v>
      </c>
      <c r="C12" s="248"/>
      <c r="D12" s="248"/>
      <c r="E12" s="248"/>
      <c r="F12" s="248"/>
      <c r="G12" s="248"/>
      <c r="H12" s="248"/>
      <c r="I12" s="248">
        <f t="shared" si="0"/>
        <v>0</v>
      </c>
      <c r="J12" s="248">
        <f t="shared" si="1"/>
        <v>0</v>
      </c>
    </row>
    <row r="13" spans="2:10" x14ac:dyDescent="0.25">
      <c r="B13" s="247" t="s">
        <v>17</v>
      </c>
      <c r="C13" s="248"/>
      <c r="D13" s="248"/>
      <c r="E13" s="248"/>
      <c r="F13" s="248"/>
      <c r="G13" s="248"/>
      <c r="H13" s="248"/>
      <c r="I13" s="248">
        <f t="shared" si="0"/>
        <v>0</v>
      </c>
      <c r="J13" s="248">
        <f t="shared" si="1"/>
        <v>0</v>
      </c>
    </row>
    <row r="14" spans="2:10" x14ac:dyDescent="0.25">
      <c r="B14" s="247" t="s">
        <v>18</v>
      </c>
      <c r="C14" s="248"/>
      <c r="D14" s="248"/>
      <c r="E14" s="248"/>
      <c r="F14" s="248"/>
      <c r="G14" s="248"/>
      <c r="H14" s="248"/>
      <c r="I14" s="248">
        <f t="shared" si="0"/>
        <v>0</v>
      </c>
      <c r="J14" s="248">
        <f t="shared" si="1"/>
        <v>0</v>
      </c>
    </row>
    <row r="15" spans="2:10" x14ac:dyDescent="0.25">
      <c r="B15" s="247" t="s">
        <v>159</v>
      </c>
      <c r="C15" s="248"/>
      <c r="D15" s="248"/>
      <c r="E15" s="248"/>
      <c r="F15" s="248"/>
      <c r="G15" s="248"/>
      <c r="H15" s="248"/>
      <c r="I15" s="248">
        <f t="shared" si="0"/>
        <v>0</v>
      </c>
      <c r="J15" s="248">
        <f t="shared" si="1"/>
        <v>0</v>
      </c>
    </row>
    <row r="16" spans="2:10" x14ac:dyDescent="0.25">
      <c r="B16" s="247" t="s">
        <v>161</v>
      </c>
      <c r="C16" s="248"/>
      <c r="D16" s="248"/>
      <c r="E16" s="248"/>
      <c r="F16" s="248"/>
      <c r="G16" s="248"/>
      <c r="H16" s="248"/>
      <c r="I16" s="248">
        <f t="shared" si="0"/>
        <v>0</v>
      </c>
      <c r="J16" s="248">
        <f t="shared" si="1"/>
        <v>0</v>
      </c>
    </row>
    <row r="17" spans="2:10" x14ac:dyDescent="0.25">
      <c r="B17" s="247" t="s">
        <v>162</v>
      </c>
      <c r="C17" s="248"/>
      <c r="D17" s="248"/>
      <c r="E17" s="248"/>
      <c r="F17" s="248"/>
      <c r="G17" s="248"/>
      <c r="H17" s="248"/>
      <c r="I17" s="248">
        <f t="shared" si="0"/>
        <v>0</v>
      </c>
      <c r="J17" s="248">
        <f t="shared" si="1"/>
        <v>0</v>
      </c>
    </row>
    <row r="18" spans="2:10" ht="16.5" thickBot="1" x14ac:dyDescent="0.3">
      <c r="B18" s="249" t="s">
        <v>163</v>
      </c>
      <c r="C18" s="250"/>
      <c r="D18" s="250"/>
      <c r="E18" s="250"/>
      <c r="F18" s="250"/>
      <c r="G18" s="250"/>
      <c r="H18" s="250"/>
      <c r="I18" s="250">
        <f t="shared" si="0"/>
        <v>0</v>
      </c>
      <c r="J18" s="250">
        <f t="shared" si="1"/>
        <v>0</v>
      </c>
    </row>
    <row r="19" spans="2:10" ht="16.5" thickBot="1" x14ac:dyDescent="0.3">
      <c r="B19" s="251" t="s">
        <v>31</v>
      </c>
      <c r="C19" s="252">
        <f>SUM(C7:C18)</f>
        <v>857</v>
      </c>
      <c r="D19" s="252"/>
      <c r="E19" s="252">
        <f>SUM(E7:E18)</f>
        <v>1515</v>
      </c>
      <c r="F19" s="252"/>
      <c r="G19" s="252">
        <f>SUM(G7:G18)</f>
        <v>479</v>
      </c>
      <c r="H19" s="252"/>
      <c r="I19" s="252">
        <f>SUM(I7:I18)</f>
        <v>1994</v>
      </c>
      <c r="J19" s="252"/>
    </row>
    <row r="21" spans="2:10" ht="16.5" x14ac:dyDescent="0.3">
      <c r="B21" s="253" t="s">
        <v>217</v>
      </c>
    </row>
  </sheetData>
  <mergeCells count="6">
    <mergeCell ref="B4:B5"/>
    <mergeCell ref="C5:D5"/>
    <mergeCell ref="E5:F5"/>
    <mergeCell ref="G5:H5"/>
    <mergeCell ref="I5:J5"/>
    <mergeCell ref="C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6"/>
  <sheetViews>
    <sheetView topLeftCell="A58" workbookViewId="0">
      <selection activeCell="G81" sqref="G81"/>
    </sheetView>
  </sheetViews>
  <sheetFormatPr defaultRowHeight="15.75" x14ac:dyDescent="0.25"/>
  <cols>
    <col min="2" max="2" width="27.77734375" bestFit="1" customWidth="1"/>
    <col min="3" max="3" width="10.6640625" customWidth="1"/>
    <col min="4" max="4" width="14.77734375" bestFit="1" customWidth="1"/>
    <col min="5" max="5" width="7.44140625" bestFit="1" customWidth="1"/>
    <col min="7" max="7" width="27.77734375" bestFit="1" customWidth="1"/>
    <col min="8" max="8" width="11.21875" bestFit="1" customWidth="1"/>
    <col min="9" max="9" width="14.77734375" bestFit="1" customWidth="1"/>
  </cols>
  <sheetData>
    <row r="2" spans="2:10" x14ac:dyDescent="0.25">
      <c r="B2" s="368" t="s">
        <v>222</v>
      </c>
      <c r="C2" s="368"/>
      <c r="D2" s="368"/>
      <c r="G2" s="368" t="s">
        <v>223</v>
      </c>
      <c r="H2" s="368"/>
    </row>
    <row r="3" spans="2:10" ht="6" customHeight="1" x14ac:dyDescent="0.25"/>
    <row r="4" spans="2:10" x14ac:dyDescent="0.25">
      <c r="B4" s="338">
        <v>43101</v>
      </c>
    </row>
    <row r="5" spans="2:10" x14ac:dyDescent="0.25">
      <c r="B5" s="332" t="s">
        <v>224</v>
      </c>
      <c r="C5" s="335" t="s">
        <v>241</v>
      </c>
      <c r="D5" s="335" t="s">
        <v>242</v>
      </c>
      <c r="E5" s="336" t="s">
        <v>0</v>
      </c>
      <c r="G5" s="333" t="s">
        <v>224</v>
      </c>
      <c r="H5" s="335" t="s">
        <v>241</v>
      </c>
      <c r="I5" s="335" t="s">
        <v>242</v>
      </c>
      <c r="J5" s="336" t="s">
        <v>0</v>
      </c>
    </row>
    <row r="6" spans="2:10" x14ac:dyDescent="0.25">
      <c r="B6" t="s">
        <v>225</v>
      </c>
      <c r="C6" s="334">
        <v>1071</v>
      </c>
      <c r="D6" s="334">
        <v>1166</v>
      </c>
      <c r="E6" s="336">
        <f>C6+D6</f>
        <v>2237</v>
      </c>
      <c r="G6" t="s">
        <v>225</v>
      </c>
      <c r="H6" s="334">
        <v>65</v>
      </c>
      <c r="I6" s="334">
        <v>66</v>
      </c>
      <c r="J6" s="336">
        <f t="shared" ref="J6:J13" si="0">H6+I6</f>
        <v>131</v>
      </c>
    </row>
    <row r="7" spans="2:10" x14ac:dyDescent="0.25">
      <c r="B7" t="s">
        <v>226</v>
      </c>
      <c r="C7" s="334">
        <v>1074</v>
      </c>
      <c r="D7" s="334">
        <v>873</v>
      </c>
      <c r="E7" s="336">
        <f>C7+D7</f>
        <v>1947</v>
      </c>
      <c r="G7" t="s">
        <v>226</v>
      </c>
      <c r="H7" s="334">
        <v>55</v>
      </c>
      <c r="I7" s="334">
        <v>55</v>
      </c>
      <c r="J7" s="336">
        <f t="shared" si="0"/>
        <v>110</v>
      </c>
    </row>
    <row r="8" spans="2:10" x14ac:dyDescent="0.25">
      <c r="B8" t="s">
        <v>227</v>
      </c>
      <c r="C8" s="334">
        <v>1207</v>
      </c>
      <c r="D8" s="334">
        <v>1113</v>
      </c>
      <c r="E8" s="336">
        <f>C8+D8</f>
        <v>2320</v>
      </c>
      <c r="G8" t="s">
        <v>227</v>
      </c>
      <c r="H8" s="334">
        <v>67</v>
      </c>
      <c r="I8" s="334">
        <v>67</v>
      </c>
      <c r="J8" s="336">
        <f t="shared" si="0"/>
        <v>134</v>
      </c>
    </row>
    <row r="9" spans="2:10" x14ac:dyDescent="0.25">
      <c r="B9" t="s">
        <v>228</v>
      </c>
      <c r="C9" s="334">
        <v>670</v>
      </c>
      <c r="D9" s="334">
        <v>663</v>
      </c>
      <c r="E9" s="336">
        <f>C9+D9</f>
        <v>1333</v>
      </c>
      <c r="G9" t="s">
        <v>228</v>
      </c>
      <c r="H9" s="334">
        <v>40</v>
      </c>
      <c r="I9" s="334">
        <v>40</v>
      </c>
      <c r="J9" s="336">
        <f t="shared" si="0"/>
        <v>80</v>
      </c>
    </row>
    <row r="10" spans="2:10" x14ac:dyDescent="0.25">
      <c r="B10" t="s">
        <v>229</v>
      </c>
      <c r="C10" s="334">
        <v>309</v>
      </c>
      <c r="D10" s="334">
        <v>298</v>
      </c>
      <c r="E10" s="336">
        <f>C10+D10</f>
        <v>607</v>
      </c>
      <c r="G10" t="s">
        <v>229</v>
      </c>
      <c r="H10" s="334">
        <v>20</v>
      </c>
      <c r="I10" s="334">
        <v>20</v>
      </c>
      <c r="J10" s="336">
        <f t="shared" si="0"/>
        <v>40</v>
      </c>
    </row>
    <row r="11" spans="2:10" x14ac:dyDescent="0.25">
      <c r="B11" t="s">
        <v>230</v>
      </c>
      <c r="C11" s="334"/>
      <c r="D11" s="334"/>
      <c r="E11" s="336"/>
      <c r="G11" t="s">
        <v>230</v>
      </c>
      <c r="H11" s="334"/>
      <c r="I11" s="334"/>
      <c r="J11" s="336">
        <f t="shared" si="0"/>
        <v>0</v>
      </c>
    </row>
    <row r="12" spans="2:10" x14ac:dyDescent="0.25">
      <c r="B12" t="s">
        <v>231</v>
      </c>
      <c r="C12" s="334"/>
      <c r="D12" s="334"/>
      <c r="E12" s="336"/>
      <c r="G12" t="s">
        <v>231</v>
      </c>
      <c r="H12" s="334">
        <v>2</v>
      </c>
      <c r="I12" s="334">
        <v>2</v>
      </c>
      <c r="J12" s="336">
        <f t="shared" si="0"/>
        <v>4</v>
      </c>
    </row>
    <row r="13" spans="2:10" x14ac:dyDescent="0.25">
      <c r="B13" t="s">
        <v>232</v>
      </c>
      <c r="C13" s="334">
        <v>1104</v>
      </c>
      <c r="D13" s="334">
        <v>1010</v>
      </c>
      <c r="E13" s="336">
        <f>C13+D13</f>
        <v>2114</v>
      </c>
      <c r="G13" t="s">
        <v>232</v>
      </c>
      <c r="H13" s="334">
        <v>63</v>
      </c>
      <c r="I13" s="334">
        <v>63</v>
      </c>
      <c r="J13" s="336">
        <f t="shared" si="0"/>
        <v>126</v>
      </c>
    </row>
    <row r="15" spans="2:10" x14ac:dyDescent="0.25">
      <c r="B15" s="332" t="s">
        <v>233</v>
      </c>
      <c r="G15" s="337" t="s">
        <v>233</v>
      </c>
    </row>
    <row r="16" spans="2:10" x14ac:dyDescent="0.25">
      <c r="B16" t="s">
        <v>234</v>
      </c>
      <c r="C16" s="334">
        <v>527</v>
      </c>
      <c r="D16" s="334">
        <v>557</v>
      </c>
      <c r="E16" s="336">
        <f t="shared" ref="E16:E22" si="1">C16+D16</f>
        <v>1084</v>
      </c>
      <c r="G16" t="s">
        <v>234</v>
      </c>
      <c r="H16" s="334">
        <v>101</v>
      </c>
      <c r="I16" s="334">
        <v>100</v>
      </c>
      <c r="J16" s="336">
        <f t="shared" ref="J16:J22" si="2">H16+I16</f>
        <v>201</v>
      </c>
    </row>
    <row r="17" spans="2:10" x14ac:dyDescent="0.25">
      <c r="B17" t="s">
        <v>235</v>
      </c>
      <c r="C17" s="334">
        <v>460</v>
      </c>
      <c r="D17" s="334">
        <v>397</v>
      </c>
      <c r="E17" s="336">
        <f t="shared" si="1"/>
        <v>857</v>
      </c>
      <c r="G17" t="s">
        <v>235</v>
      </c>
      <c r="H17" s="334">
        <v>93</v>
      </c>
      <c r="I17" s="334">
        <v>93</v>
      </c>
      <c r="J17" s="336">
        <f t="shared" si="2"/>
        <v>186</v>
      </c>
    </row>
    <row r="18" spans="2:10" x14ac:dyDescent="0.25">
      <c r="B18" t="s">
        <v>236</v>
      </c>
      <c r="C18" s="334">
        <v>7</v>
      </c>
      <c r="D18" s="334">
        <v>12</v>
      </c>
      <c r="E18" s="336">
        <f t="shared" si="1"/>
        <v>19</v>
      </c>
      <c r="G18" t="s">
        <v>236</v>
      </c>
      <c r="H18" s="334">
        <v>4</v>
      </c>
      <c r="I18" s="334">
        <v>4</v>
      </c>
      <c r="J18" s="336">
        <f t="shared" si="2"/>
        <v>8</v>
      </c>
    </row>
    <row r="19" spans="2:10" x14ac:dyDescent="0.25">
      <c r="B19" t="s">
        <v>237</v>
      </c>
      <c r="C19" s="334">
        <v>403</v>
      </c>
      <c r="D19" s="334">
        <v>339</v>
      </c>
      <c r="E19" s="336">
        <f t="shared" si="1"/>
        <v>742</v>
      </c>
      <c r="G19" t="s">
        <v>237</v>
      </c>
      <c r="H19" s="334">
        <v>89</v>
      </c>
      <c r="I19" s="334">
        <v>89</v>
      </c>
      <c r="J19" s="336">
        <f t="shared" si="2"/>
        <v>178</v>
      </c>
    </row>
    <row r="20" spans="2:10" x14ac:dyDescent="0.25">
      <c r="B20" t="s">
        <v>238</v>
      </c>
      <c r="C20" s="334">
        <v>342</v>
      </c>
      <c r="D20" s="334">
        <v>366</v>
      </c>
      <c r="E20" s="336">
        <f t="shared" si="1"/>
        <v>708</v>
      </c>
      <c r="G20" t="s">
        <v>238</v>
      </c>
      <c r="H20" s="334">
        <v>79</v>
      </c>
      <c r="I20" s="334">
        <v>79</v>
      </c>
      <c r="J20" s="336">
        <f t="shared" si="2"/>
        <v>158</v>
      </c>
    </row>
    <row r="21" spans="2:10" x14ac:dyDescent="0.25">
      <c r="B21" t="s">
        <v>239</v>
      </c>
      <c r="C21" s="334"/>
      <c r="D21" s="334"/>
      <c r="E21" s="336">
        <f t="shared" si="1"/>
        <v>0</v>
      </c>
      <c r="G21" t="s">
        <v>239</v>
      </c>
      <c r="H21" s="334"/>
      <c r="I21" s="334"/>
      <c r="J21" s="336">
        <f t="shared" si="2"/>
        <v>0</v>
      </c>
    </row>
    <row r="22" spans="2:10" x14ac:dyDescent="0.25">
      <c r="B22" t="s">
        <v>240</v>
      </c>
      <c r="C22" s="334">
        <v>376</v>
      </c>
      <c r="D22" s="334">
        <v>357</v>
      </c>
      <c r="E22" s="336">
        <f t="shared" si="1"/>
        <v>733</v>
      </c>
      <c r="G22" t="s">
        <v>240</v>
      </c>
      <c r="H22" s="334">
        <v>74</v>
      </c>
      <c r="I22" s="334">
        <v>84</v>
      </c>
      <c r="J22" s="336">
        <f t="shared" si="2"/>
        <v>158</v>
      </c>
    </row>
    <row r="25" spans="2:10" x14ac:dyDescent="0.25">
      <c r="B25" t="s">
        <v>243</v>
      </c>
      <c r="C25">
        <f>SUM(C6:C22)</f>
        <v>7550</v>
      </c>
      <c r="D25">
        <f>SUM(D6:D22)</f>
        <v>7151</v>
      </c>
      <c r="E25">
        <f>SUM(E6:E22)</f>
        <v>14701</v>
      </c>
      <c r="G25" t="s">
        <v>243</v>
      </c>
      <c r="H25">
        <f>SUM(H6:H22)</f>
        <v>752</v>
      </c>
      <c r="I25">
        <f>SUM(I6:I22)</f>
        <v>762</v>
      </c>
      <c r="J25">
        <f>SUM(J6:J22)</f>
        <v>1514</v>
      </c>
    </row>
    <row r="29" spans="2:10" x14ac:dyDescent="0.25">
      <c r="B29" s="368" t="s">
        <v>222</v>
      </c>
      <c r="C29" s="368"/>
      <c r="D29" s="368"/>
      <c r="G29" s="368" t="s">
        <v>223</v>
      </c>
      <c r="H29" s="368"/>
    </row>
    <row r="30" spans="2:10" ht="6.75" customHeight="1" x14ac:dyDescent="0.25"/>
    <row r="31" spans="2:10" x14ac:dyDescent="0.25">
      <c r="B31" s="338">
        <v>43132</v>
      </c>
    </row>
    <row r="32" spans="2:10" x14ac:dyDescent="0.25">
      <c r="B32" s="332" t="s">
        <v>224</v>
      </c>
      <c r="C32" s="335" t="s">
        <v>241</v>
      </c>
      <c r="D32" s="335" t="s">
        <v>242</v>
      </c>
      <c r="E32" s="336" t="s">
        <v>0</v>
      </c>
      <c r="G32" s="333" t="s">
        <v>224</v>
      </c>
      <c r="H32" s="335" t="s">
        <v>241</v>
      </c>
      <c r="I32" s="335" t="s">
        <v>242</v>
      </c>
      <c r="J32" s="336" t="s">
        <v>0</v>
      </c>
    </row>
    <row r="33" spans="2:10" x14ac:dyDescent="0.25">
      <c r="B33" t="s">
        <v>225</v>
      </c>
      <c r="C33" s="334">
        <v>1164</v>
      </c>
      <c r="D33" s="334">
        <v>1129</v>
      </c>
      <c r="E33" s="336">
        <f>C33+D33</f>
        <v>2293</v>
      </c>
      <c r="G33" t="s">
        <v>225</v>
      </c>
      <c r="H33" s="334">
        <v>63</v>
      </c>
      <c r="I33" s="334">
        <v>63</v>
      </c>
      <c r="J33" s="336">
        <f>H33+I33</f>
        <v>126</v>
      </c>
    </row>
    <row r="34" spans="2:10" x14ac:dyDescent="0.25">
      <c r="B34" t="s">
        <v>226</v>
      </c>
      <c r="C34" s="334">
        <v>1561</v>
      </c>
      <c r="D34" s="334">
        <v>1368</v>
      </c>
      <c r="E34" s="336">
        <f>C34+D34</f>
        <v>2929</v>
      </c>
      <c r="G34" t="s">
        <v>226</v>
      </c>
      <c r="H34" s="334">
        <v>67</v>
      </c>
      <c r="I34" s="334">
        <v>67</v>
      </c>
      <c r="J34" s="336">
        <f t="shared" ref="J34:J49" si="3">H34+I34</f>
        <v>134</v>
      </c>
    </row>
    <row r="35" spans="2:10" x14ac:dyDescent="0.25">
      <c r="B35" t="s">
        <v>227</v>
      </c>
      <c r="C35" s="334">
        <v>1450</v>
      </c>
      <c r="D35" s="334">
        <v>1255</v>
      </c>
      <c r="E35" s="336">
        <f>C35+D35</f>
        <v>2705</v>
      </c>
      <c r="G35" t="s">
        <v>227</v>
      </c>
      <c r="H35" s="334">
        <v>68</v>
      </c>
      <c r="I35" s="334">
        <v>68</v>
      </c>
      <c r="J35" s="336">
        <f t="shared" si="3"/>
        <v>136</v>
      </c>
    </row>
    <row r="36" spans="2:10" x14ac:dyDescent="0.25">
      <c r="B36" t="s">
        <v>228</v>
      </c>
      <c r="C36" s="334">
        <v>987</v>
      </c>
      <c r="D36" s="334">
        <v>1030</v>
      </c>
      <c r="E36" s="336">
        <f>C36+D36</f>
        <v>2017</v>
      </c>
      <c r="G36" t="s">
        <v>228</v>
      </c>
      <c r="H36" s="334">
        <v>66</v>
      </c>
      <c r="I36" s="334">
        <v>66</v>
      </c>
      <c r="J36" s="336">
        <f t="shared" si="3"/>
        <v>132</v>
      </c>
    </row>
    <row r="37" spans="2:10" x14ac:dyDescent="0.25">
      <c r="B37" t="s">
        <v>229</v>
      </c>
      <c r="C37" s="334"/>
      <c r="D37" s="334"/>
      <c r="E37" s="336"/>
      <c r="G37" t="s">
        <v>229</v>
      </c>
      <c r="H37" s="334">
        <v>1</v>
      </c>
      <c r="I37" s="334">
        <v>2</v>
      </c>
      <c r="J37" s="336">
        <f t="shared" si="3"/>
        <v>3</v>
      </c>
    </row>
    <row r="38" spans="2:10" x14ac:dyDescent="0.25">
      <c r="B38" t="s">
        <v>230</v>
      </c>
      <c r="C38" s="334"/>
      <c r="D38" s="334"/>
      <c r="E38" s="336"/>
      <c r="G38" t="s">
        <v>230</v>
      </c>
      <c r="H38" s="334">
        <v>0</v>
      </c>
      <c r="I38" s="334">
        <v>0</v>
      </c>
      <c r="J38" s="336">
        <f t="shared" si="3"/>
        <v>0</v>
      </c>
    </row>
    <row r="39" spans="2:10" x14ac:dyDescent="0.25">
      <c r="B39" t="s">
        <v>231</v>
      </c>
      <c r="C39" s="334"/>
      <c r="D39" s="334"/>
      <c r="E39" s="336"/>
      <c r="G39" t="s">
        <v>231</v>
      </c>
      <c r="H39" s="334">
        <v>2</v>
      </c>
      <c r="I39" s="334">
        <v>1</v>
      </c>
      <c r="J39" s="336">
        <f t="shared" si="3"/>
        <v>3</v>
      </c>
    </row>
    <row r="40" spans="2:10" x14ac:dyDescent="0.25">
      <c r="B40" t="s">
        <v>232</v>
      </c>
      <c r="C40" s="334">
        <v>170</v>
      </c>
      <c r="D40" s="334">
        <v>209</v>
      </c>
      <c r="E40" s="336">
        <f>C40+D40</f>
        <v>379</v>
      </c>
      <c r="G40" t="s">
        <v>232</v>
      </c>
      <c r="H40" s="334">
        <v>19</v>
      </c>
      <c r="I40" s="334">
        <v>20</v>
      </c>
      <c r="J40" s="336">
        <f t="shared" si="3"/>
        <v>39</v>
      </c>
    </row>
    <row r="42" spans="2:10" x14ac:dyDescent="0.25">
      <c r="B42" s="332" t="s">
        <v>233</v>
      </c>
      <c r="G42" s="337" t="s">
        <v>233</v>
      </c>
    </row>
    <row r="43" spans="2:10" x14ac:dyDescent="0.25">
      <c r="B43" t="s">
        <v>234</v>
      </c>
      <c r="C43" s="334">
        <v>478</v>
      </c>
      <c r="D43" s="334">
        <v>565</v>
      </c>
      <c r="E43" s="336">
        <f t="shared" ref="E43:E49" si="4">C43+D43</f>
        <v>1043</v>
      </c>
      <c r="G43" t="s">
        <v>234</v>
      </c>
      <c r="H43" s="334">
        <v>111</v>
      </c>
      <c r="I43" s="334">
        <v>111</v>
      </c>
      <c r="J43" s="336">
        <f t="shared" si="3"/>
        <v>222</v>
      </c>
    </row>
    <row r="44" spans="2:10" x14ac:dyDescent="0.25">
      <c r="B44" t="s">
        <v>235</v>
      </c>
      <c r="C44" s="334">
        <v>563</v>
      </c>
      <c r="D44" s="334">
        <v>557</v>
      </c>
      <c r="E44" s="336">
        <f t="shared" si="4"/>
        <v>1120</v>
      </c>
      <c r="G44" t="s">
        <v>235</v>
      </c>
      <c r="H44" s="334">
        <v>112</v>
      </c>
      <c r="I44" s="334">
        <v>112</v>
      </c>
      <c r="J44" s="336">
        <f t="shared" si="3"/>
        <v>224</v>
      </c>
    </row>
    <row r="45" spans="2:10" x14ac:dyDescent="0.25">
      <c r="B45" t="s">
        <v>236</v>
      </c>
      <c r="C45" s="334">
        <v>35</v>
      </c>
      <c r="D45" s="334">
        <v>25</v>
      </c>
      <c r="E45" s="336">
        <f t="shared" si="4"/>
        <v>60</v>
      </c>
      <c r="G45" t="s">
        <v>236</v>
      </c>
      <c r="H45" s="334">
        <v>13</v>
      </c>
      <c r="I45" s="334">
        <v>11</v>
      </c>
      <c r="J45" s="336">
        <f t="shared" si="3"/>
        <v>24</v>
      </c>
    </row>
    <row r="46" spans="2:10" x14ac:dyDescent="0.25">
      <c r="B46" t="s">
        <v>237</v>
      </c>
      <c r="C46" s="334">
        <v>478</v>
      </c>
      <c r="D46" s="334">
        <v>469</v>
      </c>
      <c r="E46" s="336">
        <f t="shared" si="4"/>
        <v>947</v>
      </c>
      <c r="G46" t="s">
        <v>237</v>
      </c>
      <c r="H46" s="334">
        <v>88</v>
      </c>
      <c r="I46" s="334">
        <v>89</v>
      </c>
      <c r="J46" s="336">
        <f t="shared" si="3"/>
        <v>177</v>
      </c>
    </row>
    <row r="47" spans="2:10" x14ac:dyDescent="0.25">
      <c r="B47" t="s">
        <v>238</v>
      </c>
      <c r="C47" s="334">
        <v>244</v>
      </c>
      <c r="D47" s="334">
        <v>344</v>
      </c>
      <c r="E47" s="336">
        <f t="shared" si="4"/>
        <v>588</v>
      </c>
      <c r="G47" t="s">
        <v>238</v>
      </c>
      <c r="H47" s="334">
        <v>74</v>
      </c>
      <c r="I47" s="334">
        <v>74</v>
      </c>
      <c r="J47" s="336">
        <f t="shared" si="3"/>
        <v>148</v>
      </c>
    </row>
    <row r="48" spans="2:10" x14ac:dyDescent="0.25">
      <c r="B48" t="s">
        <v>239</v>
      </c>
      <c r="C48" s="334">
        <v>0</v>
      </c>
      <c r="D48" s="334">
        <v>0</v>
      </c>
      <c r="E48" s="336">
        <f t="shared" si="4"/>
        <v>0</v>
      </c>
      <c r="G48" t="s">
        <v>239</v>
      </c>
      <c r="H48" s="334"/>
      <c r="I48" s="334"/>
      <c r="J48" s="336">
        <f t="shared" si="3"/>
        <v>0</v>
      </c>
    </row>
    <row r="49" spans="2:10" x14ac:dyDescent="0.25">
      <c r="B49" t="s">
        <v>240</v>
      </c>
      <c r="C49" s="334">
        <v>426</v>
      </c>
      <c r="D49" s="334">
        <v>429</v>
      </c>
      <c r="E49" s="336">
        <f t="shared" si="4"/>
        <v>855</v>
      </c>
      <c r="G49" t="s">
        <v>240</v>
      </c>
      <c r="H49" s="334">
        <v>79</v>
      </c>
      <c r="I49" s="334">
        <v>82</v>
      </c>
      <c r="J49" s="336">
        <f t="shared" si="3"/>
        <v>161</v>
      </c>
    </row>
    <row r="51" spans="2:10" ht="3.75" customHeight="1" x14ac:dyDescent="0.25"/>
    <row r="52" spans="2:10" x14ac:dyDescent="0.25">
      <c r="B52" t="s">
        <v>243</v>
      </c>
      <c r="C52">
        <f>SUM(C33:C49)</f>
        <v>7556</v>
      </c>
      <c r="D52">
        <f>SUM(D33:D49)</f>
        <v>7380</v>
      </c>
      <c r="E52">
        <f>SUM(E33:E49)</f>
        <v>14936</v>
      </c>
      <c r="G52" t="s">
        <v>243</v>
      </c>
      <c r="H52">
        <f>SUM(H33:H49)</f>
        <v>763</v>
      </c>
      <c r="I52">
        <f>SUM(I33:I49)</f>
        <v>766</v>
      </c>
      <c r="J52">
        <f>SUM(J33:J49)</f>
        <v>1529</v>
      </c>
    </row>
    <row r="56" spans="2:10" x14ac:dyDescent="0.25">
      <c r="B56" s="368" t="s">
        <v>222</v>
      </c>
      <c r="C56" s="368"/>
      <c r="D56" s="368"/>
      <c r="G56" s="368" t="s">
        <v>223</v>
      </c>
      <c r="H56" s="368"/>
    </row>
    <row r="58" spans="2:10" x14ac:dyDescent="0.25">
      <c r="B58" s="338">
        <v>43160</v>
      </c>
    </row>
    <row r="59" spans="2:10" x14ac:dyDescent="0.25">
      <c r="B59" s="332" t="s">
        <v>224</v>
      </c>
      <c r="C59" s="335" t="s">
        <v>241</v>
      </c>
      <c r="D59" s="335" t="s">
        <v>242</v>
      </c>
      <c r="E59" s="336" t="s">
        <v>0</v>
      </c>
      <c r="G59" s="333" t="s">
        <v>224</v>
      </c>
      <c r="H59" s="335" t="s">
        <v>241</v>
      </c>
      <c r="I59" s="335" t="s">
        <v>242</v>
      </c>
      <c r="J59" s="336" t="s">
        <v>0</v>
      </c>
    </row>
    <row r="60" spans="2:10" x14ac:dyDescent="0.25">
      <c r="B60" t="s">
        <v>225</v>
      </c>
      <c r="C60" s="334">
        <v>932</v>
      </c>
      <c r="D60" s="334">
        <v>966</v>
      </c>
      <c r="E60" s="336">
        <f t="shared" ref="E60:E67" si="5">C60+D60</f>
        <v>1898</v>
      </c>
      <c r="G60" t="s">
        <v>225</v>
      </c>
      <c r="H60" s="334">
        <v>50</v>
      </c>
      <c r="I60" s="334">
        <v>52</v>
      </c>
      <c r="J60" s="336">
        <f t="shared" ref="J60:J67" si="6">H60+I60</f>
        <v>102</v>
      </c>
    </row>
    <row r="61" spans="2:10" x14ac:dyDescent="0.25">
      <c r="B61" t="s">
        <v>226</v>
      </c>
      <c r="C61" s="334">
        <v>1454</v>
      </c>
      <c r="D61" s="334">
        <v>916</v>
      </c>
      <c r="E61" s="336">
        <f t="shared" si="5"/>
        <v>2370</v>
      </c>
      <c r="G61" t="s">
        <v>226</v>
      </c>
      <c r="H61" s="334">
        <v>56</v>
      </c>
      <c r="I61" s="334">
        <v>56</v>
      </c>
      <c r="J61" s="336">
        <f t="shared" si="6"/>
        <v>112</v>
      </c>
    </row>
    <row r="62" spans="2:10" x14ac:dyDescent="0.25">
      <c r="B62" t="s">
        <v>227</v>
      </c>
      <c r="C62" s="334">
        <v>1078</v>
      </c>
      <c r="D62" s="334">
        <v>1054</v>
      </c>
      <c r="E62" s="336">
        <f t="shared" si="5"/>
        <v>2132</v>
      </c>
      <c r="G62" t="s">
        <v>227</v>
      </c>
      <c r="H62" s="334">
        <v>52</v>
      </c>
      <c r="I62" s="334">
        <v>52</v>
      </c>
      <c r="J62" s="336">
        <f t="shared" si="6"/>
        <v>104</v>
      </c>
    </row>
    <row r="63" spans="2:10" x14ac:dyDescent="0.25">
      <c r="B63" t="s">
        <v>228</v>
      </c>
      <c r="C63" s="334">
        <v>1044</v>
      </c>
      <c r="D63" s="334">
        <v>1090</v>
      </c>
      <c r="E63" s="336">
        <f t="shared" si="5"/>
        <v>2134</v>
      </c>
      <c r="G63" t="s">
        <v>228</v>
      </c>
      <c r="H63" s="334">
        <v>57</v>
      </c>
      <c r="I63" s="334">
        <v>57</v>
      </c>
      <c r="J63" s="336">
        <f t="shared" si="6"/>
        <v>114</v>
      </c>
    </row>
    <row r="64" spans="2:10" x14ac:dyDescent="0.25">
      <c r="B64" t="s">
        <v>229</v>
      </c>
      <c r="C64" s="334">
        <v>446</v>
      </c>
      <c r="D64" s="334">
        <v>415</v>
      </c>
      <c r="E64" s="336">
        <f t="shared" si="5"/>
        <v>861</v>
      </c>
      <c r="G64" t="s">
        <v>229</v>
      </c>
      <c r="H64" s="334">
        <v>23</v>
      </c>
      <c r="I64" s="334">
        <v>23</v>
      </c>
      <c r="J64" s="336">
        <f t="shared" si="6"/>
        <v>46</v>
      </c>
    </row>
    <row r="65" spans="2:10" x14ac:dyDescent="0.25">
      <c r="B65" t="s">
        <v>230</v>
      </c>
      <c r="C65" s="334">
        <v>0</v>
      </c>
      <c r="D65" s="334">
        <v>0</v>
      </c>
      <c r="E65" s="336">
        <f t="shared" si="5"/>
        <v>0</v>
      </c>
      <c r="G65" t="s">
        <v>230</v>
      </c>
      <c r="H65" s="334">
        <v>0</v>
      </c>
      <c r="I65" s="334">
        <v>0</v>
      </c>
      <c r="J65" s="336">
        <f t="shared" si="6"/>
        <v>0</v>
      </c>
    </row>
    <row r="66" spans="2:10" x14ac:dyDescent="0.25">
      <c r="B66" t="s">
        <v>231</v>
      </c>
      <c r="C66" s="334">
        <v>968</v>
      </c>
      <c r="D66" s="334">
        <v>868</v>
      </c>
      <c r="E66" s="336">
        <f t="shared" si="5"/>
        <v>1836</v>
      </c>
      <c r="G66" t="s">
        <v>231</v>
      </c>
      <c r="H66" s="334">
        <v>46</v>
      </c>
      <c r="I66" s="334">
        <v>46</v>
      </c>
      <c r="J66" s="336">
        <f t="shared" si="6"/>
        <v>92</v>
      </c>
    </row>
    <row r="67" spans="2:10" x14ac:dyDescent="0.25">
      <c r="B67" t="s">
        <v>232</v>
      </c>
      <c r="C67" s="334">
        <v>650</v>
      </c>
      <c r="D67" s="334">
        <v>605</v>
      </c>
      <c r="E67" s="336">
        <f t="shared" si="5"/>
        <v>1255</v>
      </c>
      <c r="G67" t="s">
        <v>232</v>
      </c>
      <c r="H67" s="334">
        <v>32</v>
      </c>
      <c r="I67" s="334">
        <v>31</v>
      </c>
      <c r="J67" s="336">
        <f t="shared" si="6"/>
        <v>63</v>
      </c>
    </row>
    <row r="69" spans="2:10" x14ac:dyDescent="0.25">
      <c r="B69" s="332" t="s">
        <v>233</v>
      </c>
      <c r="G69" s="337" t="s">
        <v>233</v>
      </c>
    </row>
    <row r="70" spans="2:10" x14ac:dyDescent="0.25">
      <c r="B70" t="s">
        <v>234</v>
      </c>
      <c r="C70" s="334">
        <v>864</v>
      </c>
      <c r="D70" s="334">
        <v>795</v>
      </c>
      <c r="E70" s="336">
        <f t="shared" ref="E70:E76" si="7">C70+D70</f>
        <v>1659</v>
      </c>
      <c r="G70" t="s">
        <v>234</v>
      </c>
      <c r="H70" s="334">
        <v>195</v>
      </c>
      <c r="I70" s="334">
        <v>195</v>
      </c>
      <c r="J70" s="336">
        <f t="shared" ref="J70:J76" si="8">H70+I70</f>
        <v>390</v>
      </c>
    </row>
    <row r="71" spans="2:10" x14ac:dyDescent="0.25">
      <c r="B71" t="s">
        <v>235</v>
      </c>
      <c r="C71" s="334">
        <v>792</v>
      </c>
      <c r="D71" s="334">
        <v>726</v>
      </c>
      <c r="E71" s="336">
        <f t="shared" si="7"/>
        <v>1518</v>
      </c>
      <c r="G71" t="s">
        <v>235</v>
      </c>
      <c r="H71" s="334">
        <v>139</v>
      </c>
      <c r="I71" s="334">
        <v>139</v>
      </c>
      <c r="J71" s="336">
        <f t="shared" si="8"/>
        <v>278</v>
      </c>
    </row>
    <row r="72" spans="2:10" x14ac:dyDescent="0.25">
      <c r="B72" t="s">
        <v>236</v>
      </c>
      <c r="C72" s="334">
        <v>74</v>
      </c>
      <c r="D72" s="334">
        <v>43</v>
      </c>
      <c r="E72" s="336">
        <f t="shared" si="7"/>
        <v>117</v>
      </c>
      <c r="G72" t="s">
        <v>236</v>
      </c>
      <c r="H72" s="334">
        <v>24</v>
      </c>
      <c r="I72" s="334">
        <v>22</v>
      </c>
      <c r="J72" s="336">
        <f t="shared" si="8"/>
        <v>46</v>
      </c>
    </row>
    <row r="73" spans="2:10" x14ac:dyDescent="0.25">
      <c r="B73" t="s">
        <v>237</v>
      </c>
      <c r="C73" s="334">
        <v>480</v>
      </c>
      <c r="D73" s="334">
        <v>505</v>
      </c>
      <c r="E73" s="336">
        <f t="shared" si="7"/>
        <v>985</v>
      </c>
      <c r="G73" t="s">
        <v>237</v>
      </c>
      <c r="H73" s="334">
        <v>109</v>
      </c>
      <c r="I73" s="334">
        <v>108</v>
      </c>
      <c r="J73" s="336">
        <f t="shared" si="8"/>
        <v>217</v>
      </c>
    </row>
    <row r="74" spans="2:10" x14ac:dyDescent="0.25">
      <c r="B74" t="s">
        <v>238</v>
      </c>
      <c r="C74" s="334">
        <v>518</v>
      </c>
      <c r="D74" s="334">
        <v>674</v>
      </c>
      <c r="E74" s="336">
        <f t="shared" si="7"/>
        <v>1192</v>
      </c>
      <c r="G74" t="s">
        <v>238</v>
      </c>
      <c r="H74" s="334">
        <v>122</v>
      </c>
      <c r="I74" s="334">
        <v>122</v>
      </c>
      <c r="J74" s="336">
        <f t="shared" si="8"/>
        <v>244</v>
      </c>
    </row>
    <row r="75" spans="2:10" x14ac:dyDescent="0.25">
      <c r="B75" t="s">
        <v>239</v>
      </c>
      <c r="C75" s="334"/>
      <c r="D75" s="334"/>
      <c r="E75" s="336">
        <f t="shared" si="7"/>
        <v>0</v>
      </c>
      <c r="G75" t="s">
        <v>239</v>
      </c>
      <c r="H75" s="334"/>
      <c r="I75" s="334"/>
      <c r="J75" s="336">
        <f t="shared" si="8"/>
        <v>0</v>
      </c>
    </row>
    <row r="76" spans="2:10" x14ac:dyDescent="0.25">
      <c r="B76" t="s">
        <v>240</v>
      </c>
      <c r="C76" s="334">
        <v>396</v>
      </c>
      <c r="D76" s="334">
        <v>467</v>
      </c>
      <c r="E76" s="336">
        <f t="shared" si="7"/>
        <v>863</v>
      </c>
      <c r="G76" t="s">
        <v>240</v>
      </c>
      <c r="H76" s="334">
        <v>63</v>
      </c>
      <c r="I76" s="334">
        <v>64</v>
      </c>
      <c r="J76" s="336">
        <f t="shared" si="8"/>
        <v>127</v>
      </c>
    </row>
    <row r="79" spans="2:10" x14ac:dyDescent="0.25">
      <c r="B79" t="s">
        <v>243</v>
      </c>
      <c r="C79">
        <f>SUM(C60:C76)</f>
        <v>9696</v>
      </c>
      <c r="D79">
        <f>SUM(D60:D76)</f>
        <v>9124</v>
      </c>
      <c r="E79">
        <f>SUM(E60:E76)</f>
        <v>18820</v>
      </c>
      <c r="G79" t="s">
        <v>243</v>
      </c>
      <c r="H79">
        <f>SUM(H60:H76)</f>
        <v>968</v>
      </c>
      <c r="I79">
        <f>SUM(I60:I76)</f>
        <v>967</v>
      </c>
      <c r="J79">
        <f>SUM(J60:J76)</f>
        <v>1935</v>
      </c>
    </row>
    <row r="83" spans="2:10" x14ac:dyDescent="0.25">
      <c r="B83" s="368" t="s">
        <v>222</v>
      </c>
      <c r="C83" s="368"/>
      <c r="D83" s="368"/>
      <c r="G83" s="368" t="s">
        <v>223</v>
      </c>
      <c r="H83" s="368"/>
    </row>
    <row r="85" spans="2:10" x14ac:dyDescent="0.25">
      <c r="B85" s="338">
        <v>43191</v>
      </c>
    </row>
    <row r="86" spans="2:10" x14ac:dyDescent="0.25">
      <c r="B86" s="332" t="s">
        <v>224</v>
      </c>
      <c r="C86" s="335" t="s">
        <v>241</v>
      </c>
      <c r="D86" s="335" t="s">
        <v>242</v>
      </c>
      <c r="E86" s="336" t="s">
        <v>0</v>
      </c>
      <c r="G86" s="333" t="s">
        <v>224</v>
      </c>
      <c r="H86" s="335" t="s">
        <v>241</v>
      </c>
      <c r="I86" s="335" t="s">
        <v>242</v>
      </c>
      <c r="J86" s="336" t="s">
        <v>0</v>
      </c>
    </row>
    <row r="87" spans="2:10" x14ac:dyDescent="0.25">
      <c r="B87" t="s">
        <v>225</v>
      </c>
      <c r="C87" s="334">
        <v>0</v>
      </c>
      <c r="D87" s="334">
        <v>0</v>
      </c>
      <c r="E87" s="336">
        <f t="shared" ref="E87:E94" si="9">C87+D87</f>
        <v>0</v>
      </c>
      <c r="G87" t="s">
        <v>225</v>
      </c>
      <c r="H87" s="334">
        <v>0</v>
      </c>
      <c r="I87" s="334">
        <v>0</v>
      </c>
      <c r="J87" s="336">
        <f t="shared" ref="J87:J94" si="10">H87+I87</f>
        <v>0</v>
      </c>
    </row>
    <row r="88" spans="2:10" x14ac:dyDescent="0.25">
      <c r="B88" t="s">
        <v>226</v>
      </c>
      <c r="C88" s="334">
        <v>1136</v>
      </c>
      <c r="D88" s="334">
        <v>1248</v>
      </c>
      <c r="E88" s="336">
        <f t="shared" si="9"/>
        <v>2384</v>
      </c>
      <c r="G88" t="s">
        <v>226</v>
      </c>
      <c r="H88" s="334">
        <v>53</v>
      </c>
      <c r="I88" s="334">
        <v>55</v>
      </c>
      <c r="J88" s="336">
        <f t="shared" si="10"/>
        <v>108</v>
      </c>
    </row>
    <row r="89" spans="2:10" x14ac:dyDescent="0.25">
      <c r="B89" t="s">
        <v>227</v>
      </c>
      <c r="C89" s="334">
        <v>987</v>
      </c>
      <c r="D89" s="334">
        <v>1096</v>
      </c>
      <c r="E89" s="336">
        <f t="shared" si="9"/>
        <v>2083</v>
      </c>
      <c r="G89" t="s">
        <v>227</v>
      </c>
      <c r="H89" s="334">
        <v>46</v>
      </c>
      <c r="I89" s="334">
        <v>47</v>
      </c>
      <c r="J89" s="336">
        <f t="shared" si="10"/>
        <v>93</v>
      </c>
    </row>
    <row r="90" spans="2:10" x14ac:dyDescent="0.25">
      <c r="B90" t="s">
        <v>228</v>
      </c>
      <c r="C90" s="334">
        <v>948</v>
      </c>
      <c r="D90" s="334">
        <v>939</v>
      </c>
      <c r="E90" s="336">
        <f t="shared" si="9"/>
        <v>1887</v>
      </c>
      <c r="G90" t="s">
        <v>228</v>
      </c>
      <c r="H90" s="334">
        <v>49</v>
      </c>
      <c r="I90" s="334">
        <v>51</v>
      </c>
      <c r="J90" s="336">
        <f t="shared" si="10"/>
        <v>100</v>
      </c>
    </row>
    <row r="91" spans="2:10" x14ac:dyDescent="0.25">
      <c r="B91" t="s">
        <v>229</v>
      </c>
      <c r="C91" s="334">
        <v>1175</v>
      </c>
      <c r="D91" s="334">
        <v>1254</v>
      </c>
      <c r="E91" s="336">
        <f t="shared" si="9"/>
        <v>2429</v>
      </c>
      <c r="G91" t="s">
        <v>229</v>
      </c>
      <c r="H91" s="334">
        <v>52</v>
      </c>
      <c r="I91" s="334">
        <v>54</v>
      </c>
      <c r="J91" s="336">
        <f t="shared" si="10"/>
        <v>106</v>
      </c>
    </row>
    <row r="92" spans="2:10" x14ac:dyDescent="0.25">
      <c r="B92" t="s">
        <v>230</v>
      </c>
      <c r="C92" s="334">
        <v>0</v>
      </c>
      <c r="D92" s="334">
        <v>0</v>
      </c>
      <c r="E92" s="336">
        <f t="shared" si="9"/>
        <v>0</v>
      </c>
      <c r="G92" t="s">
        <v>230</v>
      </c>
      <c r="H92" s="334">
        <v>0</v>
      </c>
      <c r="I92" s="334">
        <v>0</v>
      </c>
      <c r="J92" s="336">
        <f t="shared" si="10"/>
        <v>0</v>
      </c>
    </row>
    <row r="93" spans="2:10" x14ac:dyDescent="0.25">
      <c r="B93" t="s">
        <v>231</v>
      </c>
      <c r="C93" s="334">
        <v>1222</v>
      </c>
      <c r="D93" s="334">
        <v>1067</v>
      </c>
      <c r="E93" s="336">
        <f t="shared" si="9"/>
        <v>2289</v>
      </c>
      <c r="G93" t="s">
        <v>231</v>
      </c>
      <c r="H93" s="334">
        <v>49</v>
      </c>
      <c r="I93" s="334">
        <v>51</v>
      </c>
      <c r="J93" s="336">
        <f t="shared" si="10"/>
        <v>100</v>
      </c>
    </row>
    <row r="94" spans="2:10" x14ac:dyDescent="0.25">
      <c r="B94" t="s">
        <v>232</v>
      </c>
      <c r="C94" s="334">
        <v>1126</v>
      </c>
      <c r="D94" s="334">
        <v>1195</v>
      </c>
      <c r="E94" s="336">
        <f t="shared" si="9"/>
        <v>2321</v>
      </c>
      <c r="G94" t="s">
        <v>232</v>
      </c>
      <c r="H94" s="334">
        <v>55</v>
      </c>
      <c r="I94" s="334">
        <v>57</v>
      </c>
      <c r="J94" s="336">
        <f t="shared" si="10"/>
        <v>112</v>
      </c>
    </row>
    <row r="96" spans="2:10" x14ac:dyDescent="0.25">
      <c r="B96" s="332" t="s">
        <v>233</v>
      </c>
      <c r="G96" s="337" t="s">
        <v>233</v>
      </c>
    </row>
    <row r="97" spans="2:10" x14ac:dyDescent="0.25">
      <c r="B97" t="s">
        <v>234</v>
      </c>
      <c r="C97" s="334">
        <v>907</v>
      </c>
      <c r="D97" s="334">
        <v>1116</v>
      </c>
      <c r="E97" s="336">
        <f t="shared" ref="E97:E103" si="11">C97+D97</f>
        <v>2023</v>
      </c>
      <c r="G97" t="s">
        <v>234</v>
      </c>
      <c r="H97" s="334">
        <v>192</v>
      </c>
      <c r="I97" s="334">
        <v>202</v>
      </c>
      <c r="J97" s="336">
        <f t="shared" ref="J97:J103" si="12">H97+I97</f>
        <v>394</v>
      </c>
    </row>
    <row r="98" spans="2:10" x14ac:dyDescent="0.25">
      <c r="B98" t="s">
        <v>235</v>
      </c>
      <c r="C98" s="334">
        <v>697</v>
      </c>
      <c r="D98" s="334">
        <v>852</v>
      </c>
      <c r="E98" s="336">
        <f t="shared" si="11"/>
        <v>1549</v>
      </c>
      <c r="G98" t="s">
        <v>235</v>
      </c>
      <c r="H98" s="334">
        <v>154</v>
      </c>
      <c r="I98" s="334">
        <v>158</v>
      </c>
      <c r="J98" s="336">
        <f t="shared" si="12"/>
        <v>312</v>
      </c>
    </row>
    <row r="99" spans="2:10" x14ac:dyDescent="0.25">
      <c r="B99" t="s">
        <v>236</v>
      </c>
      <c r="C99" s="334">
        <v>16</v>
      </c>
      <c r="D99" s="334">
        <v>29</v>
      </c>
      <c r="E99" s="336">
        <f t="shared" si="11"/>
        <v>45</v>
      </c>
      <c r="G99" t="s">
        <v>236</v>
      </c>
      <c r="H99" s="334">
        <v>10</v>
      </c>
      <c r="I99" s="334">
        <v>9</v>
      </c>
      <c r="J99" s="336">
        <f t="shared" si="12"/>
        <v>19</v>
      </c>
    </row>
    <row r="100" spans="2:10" x14ac:dyDescent="0.25">
      <c r="B100" t="s">
        <v>237</v>
      </c>
      <c r="C100" s="334">
        <v>325</v>
      </c>
      <c r="D100" s="334">
        <v>448</v>
      </c>
      <c r="E100" s="336">
        <f t="shared" si="11"/>
        <v>773</v>
      </c>
      <c r="G100" t="s">
        <v>237</v>
      </c>
      <c r="H100" s="334">
        <v>80</v>
      </c>
      <c r="I100" s="334">
        <v>83</v>
      </c>
      <c r="J100" s="336">
        <f t="shared" si="12"/>
        <v>163</v>
      </c>
    </row>
    <row r="101" spans="2:10" x14ac:dyDescent="0.25">
      <c r="B101" t="s">
        <v>238</v>
      </c>
      <c r="C101" s="334">
        <v>325</v>
      </c>
      <c r="D101" s="334">
        <v>586</v>
      </c>
      <c r="E101" s="336">
        <f t="shared" si="11"/>
        <v>911</v>
      </c>
      <c r="G101" t="s">
        <v>238</v>
      </c>
      <c r="H101" s="334">
        <v>109</v>
      </c>
      <c r="I101" s="334">
        <v>112</v>
      </c>
      <c r="J101" s="336">
        <f t="shared" si="12"/>
        <v>221</v>
      </c>
    </row>
    <row r="102" spans="2:10" x14ac:dyDescent="0.25">
      <c r="B102" t="s">
        <v>239</v>
      </c>
      <c r="C102" s="334">
        <v>0</v>
      </c>
      <c r="D102" s="334">
        <v>0</v>
      </c>
      <c r="E102" s="336">
        <f t="shared" si="11"/>
        <v>0</v>
      </c>
      <c r="G102" t="s">
        <v>239</v>
      </c>
      <c r="H102" s="334">
        <v>0</v>
      </c>
      <c r="I102" s="334">
        <v>0</v>
      </c>
      <c r="J102" s="336">
        <f t="shared" si="12"/>
        <v>0</v>
      </c>
    </row>
    <row r="103" spans="2:10" x14ac:dyDescent="0.25">
      <c r="B103" t="s">
        <v>240</v>
      </c>
      <c r="C103" s="334">
        <v>1143</v>
      </c>
      <c r="D103" s="334">
        <v>808</v>
      </c>
      <c r="E103" s="336">
        <f t="shared" si="11"/>
        <v>1951</v>
      </c>
      <c r="G103" t="s">
        <v>240</v>
      </c>
      <c r="H103" s="334">
        <v>84</v>
      </c>
      <c r="I103" s="334">
        <v>91</v>
      </c>
      <c r="J103" s="336">
        <f t="shared" si="12"/>
        <v>175</v>
      </c>
    </row>
    <row r="106" spans="2:10" x14ac:dyDescent="0.25">
      <c r="B106" t="s">
        <v>243</v>
      </c>
      <c r="C106">
        <f>SUM(C87:C103)</f>
        <v>10007</v>
      </c>
      <c r="D106">
        <f>SUM(D87:D103)</f>
        <v>10638</v>
      </c>
      <c r="E106">
        <f>SUM(E87:E103)</f>
        <v>20645</v>
      </c>
      <c r="G106" t="s">
        <v>243</v>
      </c>
      <c r="H106">
        <f>SUM(H87:H103)</f>
        <v>933</v>
      </c>
      <c r="I106">
        <f>SUM(I87:I103)</f>
        <v>970</v>
      </c>
      <c r="J106">
        <f>SUM(J87:J103)</f>
        <v>1903</v>
      </c>
    </row>
  </sheetData>
  <mergeCells count="8">
    <mergeCell ref="B83:D83"/>
    <mergeCell ref="G83:H83"/>
    <mergeCell ref="B29:D29"/>
    <mergeCell ref="G29:H29"/>
    <mergeCell ref="B2:D2"/>
    <mergeCell ref="G2:H2"/>
    <mergeCell ref="B56:D56"/>
    <mergeCell ref="G56:H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Data Entry</vt:lpstr>
      <vt:lpstr>Summary</vt:lpstr>
      <vt:lpstr>Cruise</vt:lpstr>
      <vt:lpstr>Cruise Ships</vt:lpstr>
      <vt:lpstr>Passenger Movement</vt:lpstr>
      <vt:lpstr>Vessel Movement</vt:lpstr>
      <vt:lpstr>Cruise!Print_Area</vt:lpstr>
      <vt:lpstr>Summary!Print_Area</vt:lpstr>
      <vt:lpstr>Print_Area</vt:lpstr>
      <vt:lpstr>PRINT_AREA_MI</vt:lpstr>
    </vt:vector>
  </TitlesOfParts>
  <Company>Government of Anguilla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Avonelle Caragliano</dc:creator>
  <cp:lastModifiedBy>Careme C. Carty</cp:lastModifiedBy>
  <cp:lastPrinted>2011-11-07T19:11:53Z</cp:lastPrinted>
  <dcterms:created xsi:type="dcterms:W3CDTF">2001-03-19T19:15:59Z</dcterms:created>
  <dcterms:modified xsi:type="dcterms:W3CDTF">2018-05-23T15:14:24Z</dcterms:modified>
</cp:coreProperties>
</file>